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redp\2. EXCEA\ExCEA - Production\01.000. AMO\06.001. F3E\007. F3E - EX 2023\999998\"/>
    </mc:Choice>
  </mc:AlternateContent>
  <xr:revisionPtr revIDLastSave="0" documentId="13_ncr:1_{8C05DAF6-D46A-4C7D-81B4-84C9C6F74F07}" xr6:coauthVersionLast="47" xr6:coauthVersionMax="47" xr10:uidLastSave="{00000000-0000-0000-0000-000000000000}"/>
  <bookViews>
    <workbookView xWindow="-120" yWindow="-120" windowWidth="29040" windowHeight="15720" tabRatio="877" firstSheet="1" activeTab="1" xr2:uid="{00000000-000D-0000-FFFF-FFFF00000000}"/>
  </bookViews>
  <sheets>
    <sheet name="import BA" sheetId="71" state="hidden" r:id="rId1"/>
    <sheet name="Jours" sheetId="101" r:id="rId2"/>
    <sheet name="Budget" sheetId="102" r:id="rId3"/>
    <sheet name="Financement" sheetId="100" r:id="rId4"/>
    <sheet name="MSE" sheetId="91" state="hidden" r:id="rId5"/>
    <sheet name="MSE (1)" sheetId="92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battEurope" localSheetId="5">[1]Recap!#REF!</definedName>
    <definedName name="AbattEurope">[1]Recap!#REF!</definedName>
    <definedName name="AnneeDebut" localSheetId="5">#REF!</definedName>
    <definedName name="AnneeDebut">#REF!</definedName>
    <definedName name="AnneePeriodeControle" localSheetId="5">#REF!</definedName>
    <definedName name="AnneePeriodeControle">#REF!</definedName>
    <definedName name="Avancement">'[2]conventions autres partenaires'!$A$1:$A$5</definedName>
    <definedName name="budget_year">'[3]Sign-Off'!$H$6</definedName>
    <definedName name="d" localSheetId="5">[4]Recap!#REF!</definedName>
    <definedName name="d">[4]Recap!#REF!</definedName>
    <definedName name="f" localSheetId="5">[4]Recap!#REF!</definedName>
    <definedName name="f">[4]Recap!#REF!</definedName>
    <definedName name="ListeCDM" localSheetId="5">#REF!</definedName>
    <definedName name="ListeCDM">#REF!</definedName>
    <definedName name="lookup_months">[3]Data!$A$3:$M$12</definedName>
    <definedName name="MoisPeriodeControle" localSheetId="5">#REF!</definedName>
    <definedName name="MoisPeriodeControle">#REF!</definedName>
    <definedName name="NbjAn">[1]Recap!$F$8</definedName>
    <definedName name="nbStagiaires" localSheetId="5">#REF!</definedName>
    <definedName name="nbStagiaires">#REF!</definedName>
    <definedName name="NomChefProjet">[5]INFORMATIONS!$D$4</definedName>
    <definedName name="NomProjet">[5]INFORMATIONS!$I$8</definedName>
    <definedName name="nrBonus1" localSheetId="5">#REF!</definedName>
    <definedName name="nrBonus1">#REF!</definedName>
    <definedName name="nrBonus2" localSheetId="5">#REF!</definedName>
    <definedName name="nrBonus2">#REF!</definedName>
    <definedName name="nrCLiab1" localSheetId="5">#REF!</definedName>
    <definedName name="nrCLiab1">#REF!</definedName>
    <definedName name="nrCLiab2" localSheetId="5">#REF!</definedName>
    <definedName name="nrCLiab2">#REF!</definedName>
    <definedName name="nrCLiab3" localSheetId="5">#REF!</definedName>
    <definedName name="nrCLiab3">#REF!</definedName>
    <definedName name="nrDebtor1" localSheetId="5">#REF!</definedName>
    <definedName name="nrDebtor1">#REF!</definedName>
    <definedName name="nrDebtor2" localSheetId="5">#REF!</definedName>
    <definedName name="nrDebtor2">#REF!</definedName>
    <definedName name="nrEmployee" localSheetId="5">#REF!</definedName>
    <definedName name="nrEmployee">#REF!</definedName>
    <definedName name="nrIntPay1" localSheetId="5">#REF!</definedName>
    <definedName name="nrIntPay1">#REF!</definedName>
    <definedName name="nrIntPay2" localSheetId="5">#REF!</definedName>
    <definedName name="nrIntPay2">#REF!</definedName>
    <definedName name="nrIntPay3" localSheetId="5">#REF!</definedName>
    <definedName name="nrIntPay3">#REF!</definedName>
    <definedName name="nrIntRec1" localSheetId="5">#REF!</definedName>
    <definedName name="nrIntRec1">#REF!</definedName>
    <definedName name="nrIntRec2" localSheetId="5">#REF!</definedName>
    <definedName name="nrIntRec2">#REF!</definedName>
    <definedName name="nrIntRec3" localSheetId="5">#REF!</definedName>
    <definedName name="nrIntRec3">#REF!</definedName>
    <definedName name="nrIntRec4" localSheetId="5">#REF!</definedName>
    <definedName name="nrIntRec4">#REF!</definedName>
    <definedName name="nrInvest" localSheetId="5">#REF!</definedName>
    <definedName name="nrInvest">#REF!</definedName>
    <definedName name="nrLTCred1" localSheetId="5">#REF!</definedName>
    <definedName name="nrLTCred1">#REF!</definedName>
    <definedName name="nrLTCred2" localSheetId="5">#REF!</definedName>
    <definedName name="nrLTCred2">#REF!</definedName>
    <definedName name="nrLTCred3" localSheetId="5">#REF!</definedName>
    <definedName name="nrLTCred3">#REF!</definedName>
    <definedName name="nrLTCred4" localSheetId="5">#REF!</definedName>
    <definedName name="nrLTCred4">#REF!</definedName>
    <definedName name="nrLTCred5" localSheetId="5">#REF!</definedName>
    <definedName name="nrLTCred5">#REF!</definedName>
    <definedName name="nrOther" localSheetId="5">#REF!</definedName>
    <definedName name="nrOther">#REF!</definedName>
    <definedName name="nrReserve" localSheetId="5">#REF!</definedName>
    <definedName name="nrReserve">#REF!</definedName>
    <definedName name="nrRP" localSheetId="5">#REF!</definedName>
    <definedName name="nrRP">#REF!</definedName>
    <definedName name="nrShare1" localSheetId="5">#REF!</definedName>
    <definedName name="nrShare1">#REF!</definedName>
    <definedName name="nrShare2" localSheetId="5">#REF!</definedName>
    <definedName name="nrShare2">#REF!</definedName>
    <definedName name="nrSTCred1" localSheetId="5">#REF!</definedName>
    <definedName name="nrSTCred1">#REF!</definedName>
    <definedName name="nrSTCred2" localSheetId="5">#REF!</definedName>
    <definedName name="nrSTCred2">#REF!</definedName>
    <definedName name="nrXtra1" localSheetId="5">#REF!</definedName>
    <definedName name="nrXtra1">#REF!</definedName>
    <definedName name="nrXtra2" localSheetId="5">#REF!</definedName>
    <definedName name="nrXtra2">#REF!</definedName>
    <definedName name="Periode_Controle">[5]INFORMATIONS!$I$4</definedName>
    <definedName name="SR_ListeFinanceur">[5]!SR_TableDim10[Financeur]</definedName>
    <definedName name="SR_NomHypo">"AIS 2018 Centre d expertise"</definedName>
    <definedName name="TJM">[1]Recap!$F$6</definedName>
    <definedName name="txCharges" localSheetId="5">#REF!</definedName>
    <definedName name="txCharges">#REF!</definedName>
    <definedName name="txChargesStag" localSheetId="5">#REF!</definedName>
    <definedName name="txChargesStag">#REF!</definedName>
    <definedName name="TxCL">[1]Recap!$F$11</definedName>
    <definedName name="txMoy">[1]Recap!$F$9</definedName>
    <definedName name="TxStagiaires" localSheetId="5">[1]Recap!#REF!</definedName>
    <definedName name="TxStagiaires">[1]Recap!#REF!</definedName>
    <definedName name="_xlnm.Print_Area" localSheetId="2">Budget!$A$1:$E$55</definedName>
    <definedName name="_xlnm.Print_Area" localSheetId="3">Financement!$A$1:$J$39</definedName>
    <definedName name="_xlnm.Print_Area" localSheetId="1">Jours!$A$1:$J$49</definedName>
    <definedName name="Zone2" localSheetId="5">#REF!</definedName>
    <definedName name="Zone2">#REF!</definedName>
    <definedName name="ZoneCrise" localSheetId="5">#REF!</definedName>
    <definedName name="ZoneCri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00" l="1"/>
  <c r="E7" i="100"/>
  <c r="E6" i="100"/>
  <c r="E5" i="100"/>
  <c r="E4" i="100"/>
  <c r="C28" i="100" l="1"/>
  <c r="E4" i="102"/>
  <c r="J9" i="101"/>
  <c r="J25" i="101"/>
  <c r="J18" i="101"/>
  <c r="J14" i="101"/>
  <c r="C19" i="101"/>
  <c r="I19" i="101"/>
  <c r="H19" i="101"/>
  <c r="G19" i="101"/>
  <c r="F19" i="101"/>
  <c r="E19" i="101"/>
  <c r="D19" i="101"/>
  <c r="B19" i="101"/>
  <c r="I15" i="101"/>
  <c r="H15" i="101"/>
  <c r="G15" i="101"/>
  <c r="F15" i="101"/>
  <c r="E15" i="101"/>
  <c r="D15" i="101"/>
  <c r="C15" i="101"/>
  <c r="B15" i="101"/>
  <c r="I11" i="101"/>
  <c r="H11" i="101"/>
  <c r="G11" i="101"/>
  <c r="G10" i="101" s="1"/>
  <c r="F11" i="101"/>
  <c r="F10" i="101" s="1"/>
  <c r="E11" i="101"/>
  <c r="E10" i="101" s="1"/>
  <c r="D11" i="101"/>
  <c r="D10" i="101" s="1"/>
  <c r="C11" i="101"/>
  <c r="C10" i="101" s="1"/>
  <c r="B11" i="101"/>
  <c r="B10" i="101" s="1"/>
  <c r="B5" i="101"/>
  <c r="I5" i="101"/>
  <c r="H5" i="101"/>
  <c r="G5" i="101"/>
  <c r="F5" i="101"/>
  <c r="E5" i="101"/>
  <c r="D5" i="101"/>
  <c r="C5" i="101"/>
  <c r="J17" i="101"/>
  <c r="J6" i="101"/>
  <c r="E34" i="102"/>
  <c r="E33" i="102"/>
  <c r="E32" i="102"/>
  <c r="E31" i="102"/>
  <c r="E30" i="102"/>
  <c r="E29" i="102"/>
  <c r="E28" i="102"/>
  <c r="E27" i="102"/>
  <c r="E26" i="102"/>
  <c r="E25" i="102"/>
  <c r="E24" i="102"/>
  <c r="E21" i="102"/>
  <c r="E20" i="102" s="1"/>
  <c r="E18" i="102"/>
  <c r="E17" i="102"/>
  <c r="E16" i="102"/>
  <c r="E15" i="102"/>
  <c r="E14" i="102"/>
  <c r="E13" i="102"/>
  <c r="E12" i="102"/>
  <c r="E11" i="102"/>
  <c r="E10" i="102"/>
  <c r="E7" i="102"/>
  <c r="E6" i="102"/>
  <c r="E5" i="102"/>
  <c r="J24" i="101"/>
  <c r="J23" i="101"/>
  <c r="J22" i="101"/>
  <c r="J21" i="101"/>
  <c r="J20" i="101"/>
  <c r="J16" i="101"/>
  <c r="J13" i="101"/>
  <c r="J12" i="101"/>
  <c r="J8" i="101"/>
  <c r="J7" i="101"/>
  <c r="G10" i="100"/>
  <c r="F10" i="100"/>
  <c r="C24" i="100"/>
  <c r="I24" i="100" s="1"/>
  <c r="H29" i="100"/>
  <c r="G29" i="100"/>
  <c r="F29" i="100"/>
  <c r="E29" i="100"/>
  <c r="D29" i="100"/>
  <c r="H26" i="100"/>
  <c r="G26" i="100"/>
  <c r="D26" i="100"/>
  <c r="E26" i="100"/>
  <c r="C25" i="100"/>
  <c r="I25" i="100" s="1"/>
  <c r="F26" i="100"/>
  <c r="G8" i="100"/>
  <c r="F8" i="100"/>
  <c r="E9" i="102" l="1"/>
  <c r="E23" i="102"/>
  <c r="I7" i="100" s="1"/>
  <c r="E3" i="102"/>
  <c r="D26" i="101"/>
  <c r="E26" i="101"/>
  <c r="F26" i="101"/>
  <c r="G26" i="101"/>
  <c r="J15" i="101"/>
  <c r="J19" i="101"/>
  <c r="J11" i="101"/>
  <c r="J5" i="101"/>
  <c r="H6" i="100"/>
  <c r="C26" i="101"/>
  <c r="H10" i="101"/>
  <c r="I10" i="101"/>
  <c r="I26" i="101" s="1"/>
  <c r="H26" i="101"/>
  <c r="B26" i="101"/>
  <c r="I5" i="100"/>
  <c r="D30" i="100"/>
  <c r="G30" i="100"/>
  <c r="H30" i="100"/>
  <c r="E30" i="100"/>
  <c r="F30" i="100"/>
  <c r="C26" i="100"/>
  <c r="I26" i="100"/>
  <c r="I6" i="100" l="1"/>
  <c r="H8" i="100"/>
  <c r="E36" i="102"/>
  <c r="I4" i="100"/>
  <c r="J10" i="101"/>
  <c r="J26" i="101"/>
  <c r="I28" i="100"/>
  <c r="I29" i="100" s="1"/>
  <c r="E8" i="100" l="1"/>
  <c r="E14" i="100" s="1"/>
  <c r="F14" i="100" s="1"/>
  <c r="F15" i="100" s="1"/>
  <c r="I8" i="100"/>
  <c r="G4" i="91"/>
  <c r="H14" i="100" l="1"/>
  <c r="H15" i="100" s="1"/>
  <c r="F9" i="100"/>
  <c r="C29" i="100" s="1"/>
  <c r="C30" i="100" s="1"/>
  <c r="I30" i="100" s="1"/>
  <c r="I39" i="91"/>
  <c r="J50" i="91" s="1"/>
  <c r="AC172" i="91"/>
  <c r="R89" i="92"/>
  <c r="J89" i="92"/>
  <c r="R79" i="92"/>
  <c r="J79" i="92"/>
  <c r="R53" i="92"/>
  <c r="J53" i="92"/>
  <c r="R33" i="92"/>
  <c r="J33" i="92"/>
  <c r="R24" i="92"/>
  <c r="J24" i="92"/>
  <c r="R16" i="92"/>
  <c r="J16" i="92"/>
  <c r="R4" i="92"/>
  <c r="J4" i="92"/>
  <c r="R264" i="91"/>
  <c r="J264" i="91"/>
  <c r="R251" i="91"/>
  <c r="J251" i="91"/>
  <c r="R242" i="91"/>
  <c r="J242" i="91"/>
  <c r="R233" i="91"/>
  <c r="J233" i="91"/>
  <c r="R224" i="91"/>
  <c r="J224" i="91"/>
  <c r="R215" i="91"/>
  <c r="J215" i="91"/>
  <c r="R206" i="91"/>
  <c r="J206" i="91"/>
  <c r="R195" i="91"/>
  <c r="J195" i="91"/>
  <c r="M84" i="91"/>
  <c r="G84" i="91"/>
  <c r="L63" i="91"/>
  <c r="G63" i="91"/>
  <c r="L36" i="91"/>
  <c r="G36" i="91"/>
  <c r="L19" i="91"/>
  <c r="G19" i="91"/>
  <c r="O86" i="91"/>
  <c r="U86" i="91"/>
  <c r="S86" i="91"/>
  <c r="S88" i="91" s="1"/>
  <c r="R86" i="91"/>
  <c r="R88" i="91" s="1"/>
  <c r="Q86" i="91"/>
  <c r="Q88" i="91" s="1"/>
  <c r="P86" i="91"/>
  <c r="T86" i="91"/>
  <c r="U87" i="91"/>
  <c r="S87" i="91"/>
  <c r="R87" i="91"/>
  <c r="Q87" i="91"/>
  <c r="O104" i="91"/>
  <c r="P101" i="91" s="1"/>
  <c r="P104" i="91" s="1"/>
  <c r="Q101" i="91" s="1"/>
  <c r="Q104" i="91" s="1"/>
  <c r="R101" i="91" s="1"/>
  <c r="R104" i="91" s="1"/>
  <c r="S101" i="91" s="1"/>
  <c r="S104" i="91" s="1"/>
  <c r="T101" i="91" s="1"/>
  <c r="T104" i="91" s="1"/>
  <c r="U101" i="91" s="1"/>
  <c r="U104" i="91" s="1"/>
  <c r="Y101" i="91"/>
  <c r="U88" i="91"/>
  <c r="T88" i="91"/>
  <c r="P88" i="91"/>
  <c r="O88" i="91"/>
  <c r="I112" i="91"/>
  <c r="H112" i="91"/>
  <c r="N183" i="91"/>
  <c r="N182" i="91"/>
  <c r="N181" i="91"/>
  <c r="N175" i="91"/>
  <c r="N174" i="91"/>
  <c r="N173" i="91"/>
  <c r="N172" i="91" s="1"/>
  <c r="N167" i="91"/>
  <c r="N166" i="91"/>
  <c r="N165" i="91"/>
  <c r="N163" i="91"/>
  <c r="N162" i="91"/>
  <c r="N161" i="91"/>
  <c r="N159" i="91" s="1"/>
  <c r="N154" i="91" s="1"/>
  <c r="N160" i="91"/>
  <c r="N158" i="91"/>
  <c r="N157" i="91"/>
  <c r="N156" i="91"/>
  <c r="N153" i="91"/>
  <c r="N152" i="91"/>
  <c r="N151" i="91"/>
  <c r="N150" i="91"/>
  <c r="N148" i="91"/>
  <c r="N147" i="91"/>
  <c r="N144" i="91" s="1"/>
  <c r="N143" i="91" s="1"/>
  <c r="N146" i="91"/>
  <c r="N145" i="91"/>
  <c r="N142" i="91"/>
  <c r="N141" i="91"/>
  <c r="N140" i="91"/>
  <c r="N139" i="91" s="1"/>
  <c r="N138" i="91"/>
  <c r="N135" i="91" s="1"/>
  <c r="N134" i="91" s="1"/>
  <c r="N168" i="91" s="1"/>
  <c r="N188" i="91" s="1"/>
  <c r="N137" i="91"/>
  <c r="N136" i="91"/>
  <c r="E260" i="91"/>
  <c r="M260" i="91"/>
  <c r="S260" i="91"/>
  <c r="T260" i="91" s="1"/>
  <c r="N149" i="91"/>
  <c r="N155" i="91"/>
  <c r="N164" i="91"/>
  <c r="N180" i="91"/>
  <c r="U260" i="91"/>
  <c r="K273" i="91"/>
  <c r="L273" i="91" s="1"/>
  <c r="N268" i="91"/>
  <c r="M268" i="91"/>
  <c r="K268" i="91"/>
  <c r="F270" i="91"/>
  <c r="E270" i="91"/>
  <c r="G270" i="91" s="1"/>
  <c r="C270" i="91"/>
  <c r="F267" i="91"/>
  <c r="E267" i="91"/>
  <c r="G267" i="91" s="1"/>
  <c r="C267" i="91"/>
  <c r="D267" i="91" s="1"/>
  <c r="C273" i="91"/>
  <c r="S273" i="91" s="1"/>
  <c r="T273" i="91" s="1"/>
  <c r="L268" i="91"/>
  <c r="D270" i="91"/>
  <c r="O268" i="91"/>
  <c r="D273" i="91"/>
  <c r="P136" i="91"/>
  <c r="P135" i="91" s="1"/>
  <c r="P268" i="91"/>
  <c r="I67" i="91"/>
  <c r="N9" i="92"/>
  <c r="F9" i="92"/>
  <c r="C9" i="92"/>
  <c r="S9" i="92" s="1"/>
  <c r="T9" i="92" s="1"/>
  <c r="U91" i="92"/>
  <c r="U92" i="92" s="1"/>
  <c r="S91" i="92"/>
  <c r="S92" i="92" s="1"/>
  <c r="S21" i="92"/>
  <c r="O91" i="92"/>
  <c r="O92" i="92"/>
  <c r="O81" i="92"/>
  <c r="O82" i="92"/>
  <c r="P85" i="92"/>
  <c r="G91" i="92"/>
  <c r="M93" i="92"/>
  <c r="K93" i="92"/>
  <c r="C93" i="92"/>
  <c r="M92" i="92"/>
  <c r="M94" i="92" s="1"/>
  <c r="K92" i="92"/>
  <c r="K94" i="92" s="1"/>
  <c r="E92" i="92"/>
  <c r="C92" i="92"/>
  <c r="M84" i="92"/>
  <c r="K84" i="92"/>
  <c r="M82" i="92"/>
  <c r="K82" i="92"/>
  <c r="E81" i="92"/>
  <c r="E84" i="92" s="1"/>
  <c r="C81" i="92"/>
  <c r="S81" i="92" s="1"/>
  <c r="S82" i="92" s="1"/>
  <c r="E56" i="92"/>
  <c r="C56" i="92"/>
  <c r="M29" i="92"/>
  <c r="K29" i="92"/>
  <c r="C29" i="92"/>
  <c r="G27" i="92"/>
  <c r="O21" i="92"/>
  <c r="O93" i="92"/>
  <c r="W93" i="92" s="1"/>
  <c r="W94" i="92" s="1"/>
  <c r="E21" i="92"/>
  <c r="U21" i="92" s="1"/>
  <c r="M19" i="92"/>
  <c r="K19" i="92"/>
  <c r="K27" i="92" s="1"/>
  <c r="E19" i="92"/>
  <c r="C19" i="92"/>
  <c r="C36" i="92" s="1"/>
  <c r="M18" i="92"/>
  <c r="K18" i="92"/>
  <c r="K35" i="92" s="1"/>
  <c r="K44" i="92" s="1"/>
  <c r="E18" i="92"/>
  <c r="C18" i="92"/>
  <c r="C20" i="92" s="1"/>
  <c r="J175" i="91"/>
  <c r="J172" i="91" s="1"/>
  <c r="N258" i="91"/>
  <c r="F258" i="91"/>
  <c r="V258" i="91" s="1"/>
  <c r="J135" i="91"/>
  <c r="J134" i="91" s="1"/>
  <c r="J168" i="91" s="1"/>
  <c r="J188" i="91" s="1"/>
  <c r="J139" i="91"/>
  <c r="M273" i="91"/>
  <c r="P139" i="91"/>
  <c r="P175" i="91"/>
  <c r="K197" i="91" s="1"/>
  <c r="I136" i="91"/>
  <c r="I175" i="91"/>
  <c r="D136" i="91"/>
  <c r="D137" i="91"/>
  <c r="D138" i="91"/>
  <c r="D140" i="91"/>
  <c r="D141" i="91"/>
  <c r="D142" i="91"/>
  <c r="D145" i="91"/>
  <c r="D146" i="91"/>
  <c r="D147" i="91"/>
  <c r="D144" i="91" s="1"/>
  <c r="D143" i="91" s="1"/>
  <c r="D148" i="91"/>
  <c r="D150" i="91"/>
  <c r="D151" i="91"/>
  <c r="D152" i="91"/>
  <c r="D153" i="91"/>
  <c r="D156" i="91"/>
  <c r="D157" i="91"/>
  <c r="D158" i="91"/>
  <c r="D160" i="91"/>
  <c r="D161" i="91"/>
  <c r="D162" i="91"/>
  <c r="D163" i="91"/>
  <c r="D165" i="91"/>
  <c r="D166" i="91"/>
  <c r="D167" i="91"/>
  <c r="D173" i="91"/>
  <c r="D172" i="91" s="1"/>
  <c r="D184" i="91" s="1"/>
  <c r="D189" i="91" s="1"/>
  <c r="D174" i="91"/>
  <c r="D175" i="91"/>
  <c r="D177" i="91"/>
  <c r="D178" i="91"/>
  <c r="D179" i="91"/>
  <c r="D181" i="91"/>
  <c r="D182" i="91"/>
  <c r="D183" i="91"/>
  <c r="D126" i="91"/>
  <c r="D129" i="91" s="1"/>
  <c r="I126" i="91"/>
  <c r="I129" i="91" s="1"/>
  <c r="G135" i="91"/>
  <c r="G139" i="91"/>
  <c r="H135" i="91"/>
  <c r="H139" i="91"/>
  <c r="I139" i="91"/>
  <c r="M135" i="91"/>
  <c r="M134" i="91" s="1"/>
  <c r="M168" i="91" s="1"/>
  <c r="M188" i="91" s="1"/>
  <c r="M139" i="91"/>
  <c r="I144" i="91"/>
  <c r="M144" i="91"/>
  <c r="H149" i="91"/>
  <c r="I149" i="91"/>
  <c r="M149" i="91"/>
  <c r="G155" i="91"/>
  <c r="G159" i="91"/>
  <c r="G164" i="91"/>
  <c r="H155" i="91"/>
  <c r="H159" i="91"/>
  <c r="H164" i="91"/>
  <c r="I155" i="91"/>
  <c r="I159" i="91"/>
  <c r="I164" i="91"/>
  <c r="M155" i="91"/>
  <c r="M159" i="91"/>
  <c r="M154" i="91" s="1"/>
  <c r="M164" i="91"/>
  <c r="E126" i="91"/>
  <c r="E129" i="91"/>
  <c r="J126" i="91"/>
  <c r="J129" i="91" s="1"/>
  <c r="I178" i="91"/>
  <c r="G180" i="91"/>
  <c r="H180" i="91"/>
  <c r="I180" i="91"/>
  <c r="R135" i="91"/>
  <c r="R142" i="91"/>
  <c r="K142" i="91" s="1"/>
  <c r="R144" i="91"/>
  <c r="R149" i="91"/>
  <c r="C227" i="91" s="1"/>
  <c r="R155" i="91"/>
  <c r="R159" i="91"/>
  <c r="R164" i="91"/>
  <c r="R154" i="91" s="1"/>
  <c r="C245" i="91" s="1"/>
  <c r="K199" i="91"/>
  <c r="K8" i="92" s="1"/>
  <c r="K209" i="91"/>
  <c r="K236" i="91"/>
  <c r="S236" i="91"/>
  <c r="T236" i="91" s="1"/>
  <c r="K227" i="91"/>
  <c r="R180" i="91"/>
  <c r="K245" i="91" s="1"/>
  <c r="K136" i="91"/>
  <c r="K137" i="91"/>
  <c r="L137" i="91"/>
  <c r="K138" i="91"/>
  <c r="L138" i="91" s="1"/>
  <c r="K140" i="91"/>
  <c r="L140" i="91" s="1"/>
  <c r="K141" i="91"/>
  <c r="L141" i="91" s="1"/>
  <c r="K145" i="91"/>
  <c r="K146" i="91"/>
  <c r="K147" i="91"/>
  <c r="K148" i="91"/>
  <c r="K144" i="91" s="1"/>
  <c r="K150" i="91"/>
  <c r="L150" i="91" s="1"/>
  <c r="K151" i="91"/>
  <c r="K152" i="91"/>
  <c r="K153" i="91"/>
  <c r="K156" i="91"/>
  <c r="L156" i="91" s="1"/>
  <c r="K157" i="91"/>
  <c r="L157" i="91" s="1"/>
  <c r="K158" i="91"/>
  <c r="L158" i="91" s="1"/>
  <c r="K160" i="91"/>
  <c r="L160" i="91" s="1"/>
  <c r="L159" i="91" s="1"/>
  <c r="K161" i="91"/>
  <c r="L161" i="91" s="1"/>
  <c r="K162" i="91"/>
  <c r="L162" i="91"/>
  <c r="K163" i="91"/>
  <c r="L163" i="91"/>
  <c r="K165" i="91"/>
  <c r="L165" i="91" s="1"/>
  <c r="L164" i="91" s="1"/>
  <c r="K166" i="91"/>
  <c r="L166" i="91"/>
  <c r="K167" i="91"/>
  <c r="L167" i="91"/>
  <c r="K175" i="91"/>
  <c r="N199" i="91" s="1"/>
  <c r="N8" i="92" s="1"/>
  <c r="K173" i="91"/>
  <c r="K177" i="91"/>
  <c r="N236" i="91" s="1"/>
  <c r="V236" i="91" s="1"/>
  <c r="K174" i="91"/>
  <c r="L174" i="91" s="1"/>
  <c r="K178" i="91"/>
  <c r="K179" i="91"/>
  <c r="K181" i="91"/>
  <c r="L181" i="91" s="1"/>
  <c r="K182" i="91"/>
  <c r="L182" i="91" s="1"/>
  <c r="K183" i="91"/>
  <c r="L183" i="91"/>
  <c r="C258" i="91"/>
  <c r="R172" i="91"/>
  <c r="R176" i="91"/>
  <c r="P176" i="91"/>
  <c r="P180" i="91"/>
  <c r="J176" i="91"/>
  <c r="J180" i="91"/>
  <c r="H172" i="91"/>
  <c r="H176" i="91"/>
  <c r="G172" i="91"/>
  <c r="G176" i="91"/>
  <c r="P144" i="91"/>
  <c r="P149" i="91"/>
  <c r="P155" i="91"/>
  <c r="P154" i="91" s="1"/>
  <c r="P159" i="91"/>
  <c r="P164" i="91"/>
  <c r="J144" i="91"/>
  <c r="J149" i="91"/>
  <c r="J155" i="91"/>
  <c r="J159" i="91"/>
  <c r="J164" i="91"/>
  <c r="AC176" i="91"/>
  <c r="AC180" i="91"/>
  <c r="AC135" i="91"/>
  <c r="AC139" i="91"/>
  <c r="AC144" i="91"/>
  <c r="AC149" i="91"/>
  <c r="AC155" i="91"/>
  <c r="AC159" i="91"/>
  <c r="AC164" i="91"/>
  <c r="AC154" i="91" s="1"/>
  <c r="V202" i="91"/>
  <c r="B129" i="91"/>
  <c r="G119" i="91"/>
  <c r="B119" i="91"/>
  <c r="H121" i="91"/>
  <c r="H124" i="91"/>
  <c r="H125" i="91"/>
  <c r="G129" i="91"/>
  <c r="G128" i="91"/>
  <c r="C121" i="91"/>
  <c r="C124" i="91"/>
  <c r="C126" i="91" s="1"/>
  <c r="C129" i="91" s="1"/>
  <c r="C125" i="91"/>
  <c r="B128" i="91"/>
  <c r="I110" i="91"/>
  <c r="I71" i="71"/>
  <c r="I72" i="71"/>
  <c r="I73" i="71"/>
  <c r="I74" i="71"/>
  <c r="I75" i="71"/>
  <c r="I76" i="71"/>
  <c r="I77" i="71"/>
  <c r="I78" i="71"/>
  <c r="I79" i="71"/>
  <c r="I80" i="71"/>
  <c r="I81" i="71"/>
  <c r="I82" i="71"/>
  <c r="I83" i="71"/>
  <c r="I84" i="71"/>
  <c r="I85" i="71"/>
  <c r="I86" i="71"/>
  <c r="I87" i="71"/>
  <c r="I88" i="71"/>
  <c r="I89" i="71"/>
  <c r="I90" i="71"/>
  <c r="I91" i="71"/>
  <c r="I92" i="71"/>
  <c r="I93" i="71"/>
  <c r="I94" i="71"/>
  <c r="I95" i="71"/>
  <c r="I96" i="71"/>
  <c r="I97" i="71"/>
  <c r="I98" i="71"/>
  <c r="I99" i="71"/>
  <c r="I100" i="71"/>
  <c r="I101" i="71"/>
  <c r="I122" i="71"/>
  <c r="I123" i="71"/>
  <c r="I128" i="71"/>
  <c r="I138" i="71"/>
  <c r="I139" i="71"/>
  <c r="I124" i="71"/>
  <c r="I140" i="71"/>
  <c r="I141" i="71"/>
  <c r="I125" i="71"/>
  <c r="I137" i="71"/>
  <c r="I142" i="71"/>
  <c r="I106" i="71"/>
  <c r="I116" i="71"/>
  <c r="I102" i="71"/>
  <c r="I103" i="71"/>
  <c r="I104" i="71"/>
  <c r="I105" i="71"/>
  <c r="I107" i="71"/>
  <c r="I108" i="71"/>
  <c r="I109" i="71"/>
  <c r="I110" i="71"/>
  <c r="I111" i="71"/>
  <c r="I112" i="71"/>
  <c r="I113" i="71"/>
  <c r="I114" i="71"/>
  <c r="I115" i="71"/>
  <c r="I117" i="71"/>
  <c r="I118" i="71"/>
  <c r="I119" i="71"/>
  <c r="I120" i="71"/>
  <c r="I121" i="71"/>
  <c r="I129" i="71"/>
  <c r="I130" i="71"/>
  <c r="I131" i="71"/>
  <c r="I132" i="71"/>
  <c r="I133" i="71"/>
  <c r="I134" i="71"/>
  <c r="I135" i="71"/>
  <c r="I136" i="71"/>
  <c r="I54" i="71"/>
  <c r="I55" i="71"/>
  <c r="I56" i="71"/>
  <c r="I57" i="71"/>
  <c r="I58" i="71"/>
  <c r="I59" i="71"/>
  <c r="I60" i="71"/>
  <c r="I61" i="71"/>
  <c r="I62" i="71"/>
  <c r="I63" i="71"/>
  <c r="I64" i="71"/>
  <c r="I65" i="71"/>
  <c r="I66" i="71"/>
  <c r="I67" i="71"/>
  <c r="I68" i="71"/>
  <c r="I69" i="71"/>
  <c r="I70" i="71"/>
  <c r="I126" i="71"/>
  <c r="I127" i="71"/>
  <c r="A180" i="71"/>
  <c r="L180" i="71" s="1"/>
  <c r="I39" i="71"/>
  <c r="I36" i="71"/>
  <c r="I53" i="71"/>
  <c r="I40" i="71"/>
  <c r="I41" i="71"/>
  <c r="I42" i="71"/>
  <c r="I37" i="71"/>
  <c r="I38" i="71"/>
  <c r="I43" i="71"/>
  <c r="I44" i="71"/>
  <c r="I45" i="71"/>
  <c r="I35" i="71"/>
  <c r="I34" i="71"/>
  <c r="I20" i="71"/>
  <c r="R6" i="71"/>
  <c r="R7" i="71"/>
  <c r="R8" i="71"/>
  <c r="R9" i="71"/>
  <c r="R10" i="71"/>
  <c r="R11" i="71"/>
  <c r="R12" i="71"/>
  <c r="R13" i="71"/>
  <c r="R14" i="71"/>
  <c r="R15" i="71"/>
  <c r="R16" i="71"/>
  <c r="R17" i="71"/>
  <c r="R18" i="71"/>
  <c r="R19" i="71"/>
  <c r="R20" i="71"/>
  <c r="R21" i="71"/>
  <c r="R22" i="71"/>
  <c r="R23" i="71"/>
  <c r="R24" i="71"/>
  <c r="R25" i="71"/>
  <c r="R26" i="71"/>
  <c r="R27" i="71"/>
  <c r="R28" i="71"/>
  <c r="R29" i="71"/>
  <c r="R30" i="71"/>
  <c r="R31" i="71"/>
  <c r="R32" i="71"/>
  <c r="R33" i="71"/>
  <c r="R34" i="71"/>
  <c r="R35" i="71"/>
  <c r="R36" i="71"/>
  <c r="R37" i="71"/>
  <c r="R38" i="71"/>
  <c r="R39" i="71"/>
  <c r="R40" i="71"/>
  <c r="R41" i="71"/>
  <c r="R42" i="71"/>
  <c r="R43" i="71"/>
  <c r="R44" i="71"/>
  <c r="R45" i="71"/>
  <c r="R46" i="71"/>
  <c r="R47" i="71"/>
  <c r="R48" i="71"/>
  <c r="R49" i="71"/>
  <c r="R50" i="71"/>
  <c r="R51" i="71"/>
  <c r="R52" i="71"/>
  <c r="R53" i="71"/>
  <c r="R54" i="71"/>
  <c r="R55" i="71"/>
  <c r="R56" i="71"/>
  <c r="R57" i="71"/>
  <c r="R58" i="71"/>
  <c r="R59" i="71"/>
  <c r="R60" i="71"/>
  <c r="R61" i="71"/>
  <c r="R62" i="71"/>
  <c r="R63" i="71"/>
  <c r="R64" i="71"/>
  <c r="R65" i="71"/>
  <c r="R66" i="71"/>
  <c r="R67" i="71"/>
  <c r="R68" i="71"/>
  <c r="R69" i="71"/>
  <c r="R70" i="71"/>
  <c r="R71" i="71"/>
  <c r="R72" i="71"/>
  <c r="R73" i="71"/>
  <c r="R74" i="71"/>
  <c r="R75" i="71"/>
  <c r="R76" i="71"/>
  <c r="R77" i="71"/>
  <c r="R78" i="71"/>
  <c r="R79" i="71"/>
  <c r="R80" i="71"/>
  <c r="R81" i="71"/>
  <c r="R82" i="71"/>
  <c r="R83" i="71"/>
  <c r="R84" i="71"/>
  <c r="R85" i="71"/>
  <c r="R86" i="71"/>
  <c r="R87" i="71"/>
  <c r="R88" i="71"/>
  <c r="R89" i="71"/>
  <c r="R90" i="71"/>
  <c r="R91" i="71"/>
  <c r="R92" i="71"/>
  <c r="R93" i="71"/>
  <c r="R94" i="71"/>
  <c r="R95" i="71"/>
  <c r="R96" i="71"/>
  <c r="R97" i="71"/>
  <c r="R98" i="71"/>
  <c r="R99" i="71"/>
  <c r="R100" i="71"/>
  <c r="R101" i="71"/>
  <c r="R102" i="71"/>
  <c r="R103" i="71"/>
  <c r="R104" i="71"/>
  <c r="R105" i="71"/>
  <c r="R106" i="71"/>
  <c r="R107" i="71"/>
  <c r="R108" i="71"/>
  <c r="R109" i="71"/>
  <c r="R110" i="71"/>
  <c r="R111" i="71"/>
  <c r="R112" i="71"/>
  <c r="R113" i="71"/>
  <c r="R114" i="71"/>
  <c r="R115" i="71"/>
  <c r="R116" i="71"/>
  <c r="R117" i="71"/>
  <c r="R118" i="71"/>
  <c r="R119" i="71"/>
  <c r="R120" i="71"/>
  <c r="R121" i="71"/>
  <c r="R122" i="71"/>
  <c r="R123" i="71"/>
  <c r="R124" i="71"/>
  <c r="R125" i="71"/>
  <c r="R126" i="71"/>
  <c r="R127" i="71"/>
  <c r="R128" i="71"/>
  <c r="R129" i="71"/>
  <c r="R130" i="71"/>
  <c r="R131" i="71"/>
  <c r="R132" i="71"/>
  <c r="R133" i="71"/>
  <c r="R134" i="71"/>
  <c r="R135" i="71"/>
  <c r="R136" i="71"/>
  <c r="R137" i="71"/>
  <c r="R138" i="71"/>
  <c r="R139" i="71"/>
  <c r="R140" i="71"/>
  <c r="I23" i="71"/>
  <c r="F180" i="71"/>
  <c r="G180" i="71"/>
  <c r="Q180" i="71"/>
  <c r="R141" i="71"/>
  <c r="R142" i="71"/>
  <c r="R143" i="71"/>
  <c r="R144" i="71"/>
  <c r="R145" i="71"/>
  <c r="R146" i="71"/>
  <c r="R147" i="71"/>
  <c r="R148" i="71"/>
  <c r="R149" i="71"/>
  <c r="R150" i="71"/>
  <c r="R151" i="71"/>
  <c r="R152" i="71"/>
  <c r="R153" i="71"/>
  <c r="R154" i="71"/>
  <c r="R155" i="71"/>
  <c r="R156" i="71"/>
  <c r="R157" i="71"/>
  <c r="R158" i="71"/>
  <c r="R159" i="71"/>
  <c r="R160" i="71"/>
  <c r="R161" i="71"/>
  <c r="R162" i="71"/>
  <c r="R163" i="71"/>
  <c r="R164" i="71"/>
  <c r="R165" i="71"/>
  <c r="R166" i="71"/>
  <c r="R167" i="71"/>
  <c r="R168" i="71"/>
  <c r="R169" i="71"/>
  <c r="R170" i="71"/>
  <c r="R171" i="71"/>
  <c r="R172" i="71"/>
  <c r="R173" i="71"/>
  <c r="R174" i="71"/>
  <c r="R175" i="71"/>
  <c r="R176" i="71"/>
  <c r="R177" i="71"/>
  <c r="R178" i="71"/>
  <c r="R179" i="71"/>
  <c r="P180" i="71"/>
  <c r="O180" i="71"/>
  <c r="N180" i="71"/>
  <c r="I160" i="71"/>
  <c r="I161" i="71"/>
  <c r="I162" i="71"/>
  <c r="I163" i="71"/>
  <c r="I164" i="71"/>
  <c r="I165" i="71"/>
  <c r="I166" i="71"/>
  <c r="I167" i="71"/>
  <c r="I168" i="71"/>
  <c r="I169" i="71"/>
  <c r="I170" i="71"/>
  <c r="I171" i="71"/>
  <c r="I172" i="71"/>
  <c r="I173" i="71"/>
  <c r="I174" i="71"/>
  <c r="I175" i="71"/>
  <c r="I176" i="71"/>
  <c r="I177" i="71"/>
  <c r="I178" i="71"/>
  <c r="I179" i="71"/>
  <c r="I159" i="71"/>
  <c r="I158" i="71"/>
  <c r="I157" i="71"/>
  <c r="I156" i="71"/>
  <c r="I155" i="71"/>
  <c r="I154" i="71"/>
  <c r="I153" i="71"/>
  <c r="I152" i="71"/>
  <c r="I151" i="71"/>
  <c r="I150" i="71"/>
  <c r="H104" i="91"/>
  <c r="I143" i="71"/>
  <c r="I144" i="71"/>
  <c r="I145" i="71"/>
  <c r="I146" i="71"/>
  <c r="I147" i="71"/>
  <c r="I148" i="71"/>
  <c r="I149" i="71"/>
  <c r="I4" i="71"/>
  <c r="B180" i="71"/>
  <c r="I52" i="71"/>
  <c r="I51" i="71"/>
  <c r="I50" i="71"/>
  <c r="I49" i="71"/>
  <c r="I48" i="71"/>
  <c r="I47" i="71"/>
  <c r="I46" i="71"/>
  <c r="I33" i="71"/>
  <c r="I32" i="71"/>
  <c r="I31" i="71"/>
  <c r="I30" i="71"/>
  <c r="I29" i="71"/>
  <c r="I28" i="71"/>
  <c r="I27" i="71"/>
  <c r="I26" i="71"/>
  <c r="I25" i="71"/>
  <c r="I24" i="71"/>
  <c r="I22" i="71"/>
  <c r="I21" i="71"/>
  <c r="I19" i="71"/>
  <c r="I18" i="71"/>
  <c r="I17" i="71"/>
  <c r="I16" i="71"/>
  <c r="I15" i="71"/>
  <c r="I14" i="71"/>
  <c r="I13" i="71"/>
  <c r="I12" i="71"/>
  <c r="I11" i="71"/>
  <c r="I10" i="71"/>
  <c r="I9" i="71"/>
  <c r="I8" i="71"/>
  <c r="I7" i="71"/>
  <c r="I6" i="71"/>
  <c r="I5" i="71"/>
  <c r="I3" i="71"/>
  <c r="I2" i="71"/>
  <c r="F110" i="91"/>
  <c r="E113" i="91"/>
  <c r="D110" i="91"/>
  <c r="F112" i="91"/>
  <c r="H102" i="91"/>
  <c r="G102" i="91"/>
  <c r="F102" i="91"/>
  <c r="E102" i="91"/>
  <c r="D102" i="91"/>
  <c r="I102" i="91"/>
  <c r="J102" i="91"/>
  <c r="J112" i="91"/>
  <c r="N209" i="91"/>
  <c r="V209" i="91"/>
  <c r="L173" i="91"/>
  <c r="S209" i="91"/>
  <c r="L209" i="91"/>
  <c r="M209" i="91" s="1"/>
  <c r="C218" i="91"/>
  <c r="S218" i="91"/>
  <c r="S93" i="92"/>
  <c r="S94" i="92" s="1"/>
  <c r="W91" i="92"/>
  <c r="W92" i="92"/>
  <c r="S29" i="92"/>
  <c r="O84" i="92"/>
  <c r="L84" i="92"/>
  <c r="N82" i="92"/>
  <c r="N86" i="92"/>
  <c r="P84" i="92"/>
  <c r="L83" i="92"/>
  <c r="N81" i="92"/>
  <c r="N85" i="92"/>
  <c r="P83" i="92"/>
  <c r="L82" i="92"/>
  <c r="L86" i="92"/>
  <c r="N84" i="92"/>
  <c r="P82" i="92"/>
  <c r="P86" i="92"/>
  <c r="L81" i="92"/>
  <c r="L85" i="92"/>
  <c r="N83" i="92"/>
  <c r="P81" i="92"/>
  <c r="G92" i="92"/>
  <c r="C94" i="92"/>
  <c r="O29" i="92"/>
  <c r="E35" i="92"/>
  <c r="E44" i="92" s="1"/>
  <c r="E36" i="92"/>
  <c r="E47" i="92" s="1"/>
  <c r="E49" i="92" s="1"/>
  <c r="G56" i="92"/>
  <c r="C59" i="92"/>
  <c r="C67" i="92"/>
  <c r="C69" i="92" s="1"/>
  <c r="E93" i="92"/>
  <c r="E29" i="92"/>
  <c r="G29" i="92" s="1"/>
  <c r="W29" i="92" s="1"/>
  <c r="E20" i="92"/>
  <c r="E22" i="92" s="1"/>
  <c r="E26" i="92"/>
  <c r="E55" i="92" s="1"/>
  <c r="E59" i="92"/>
  <c r="E67" i="92"/>
  <c r="E69" i="92" s="1"/>
  <c r="G21" i="92"/>
  <c r="W21" i="92" s="1"/>
  <c r="M143" i="91"/>
  <c r="I143" i="91"/>
  <c r="D149" i="91"/>
  <c r="R143" i="91"/>
  <c r="AC143" i="91"/>
  <c r="J154" i="91"/>
  <c r="H126" i="91"/>
  <c r="H129" i="91" s="1"/>
  <c r="D139" i="91"/>
  <c r="D134" i="91" s="1"/>
  <c r="AC134" i="91"/>
  <c r="AC168" i="91" s="1"/>
  <c r="R184" i="91"/>
  <c r="R189" i="91" s="1"/>
  <c r="K159" i="91"/>
  <c r="K180" i="91"/>
  <c r="N245" i="91" s="1"/>
  <c r="K155" i="91"/>
  <c r="G154" i="91"/>
  <c r="H134" i="91"/>
  <c r="D164" i="91"/>
  <c r="D155" i="91"/>
  <c r="D154" i="91" s="1"/>
  <c r="J143" i="91"/>
  <c r="AC184" i="91"/>
  <c r="H184" i="91"/>
  <c r="H189" i="91" s="1"/>
  <c r="K135" i="91"/>
  <c r="H154" i="91"/>
  <c r="G134" i="91"/>
  <c r="D159" i="91"/>
  <c r="D135" i="91"/>
  <c r="D180" i="91"/>
  <c r="P143" i="91"/>
  <c r="G184" i="91"/>
  <c r="G189" i="91" s="1"/>
  <c r="D176" i="91"/>
  <c r="I154" i="91"/>
  <c r="R139" i="91"/>
  <c r="R134" i="91"/>
  <c r="R168" i="91" s="1"/>
  <c r="R188" i="91" s="1"/>
  <c r="K9" i="92"/>
  <c r="K258" i="91"/>
  <c r="S202" i="91"/>
  <c r="T202" i="91" s="1"/>
  <c r="E94" i="92"/>
  <c r="U93" i="92"/>
  <c r="U94" i="92" s="1"/>
  <c r="U29" i="92"/>
  <c r="G93" i="92"/>
  <c r="G59" i="92"/>
  <c r="C199" i="91"/>
  <c r="S199" i="91" s="1"/>
  <c r="C8" i="92"/>
  <c r="G94" i="92"/>
  <c r="M180" i="91"/>
  <c r="M172" i="91"/>
  <c r="K211" i="91"/>
  <c r="S211" i="91" s="1"/>
  <c r="T211" i="91" s="1"/>
  <c r="L258" i="91"/>
  <c r="G19" i="92"/>
  <c r="D39" i="91"/>
  <c r="E50" i="91" s="1"/>
  <c r="J113" i="91"/>
  <c r="G15" i="100" l="1"/>
  <c r="E15" i="100" s="1"/>
  <c r="H109" i="91"/>
  <c r="I109" i="91"/>
  <c r="F109" i="91"/>
  <c r="I103" i="91"/>
  <c r="F103" i="91"/>
  <c r="D66" i="91"/>
  <c r="H267" i="91"/>
  <c r="D69" i="91"/>
  <c r="H270" i="91"/>
  <c r="D168" i="91"/>
  <c r="D188" i="91" s="1"/>
  <c r="D190" i="91" s="1"/>
  <c r="U209" i="91"/>
  <c r="O209" i="91"/>
  <c r="P209" i="91" s="1"/>
  <c r="K143" i="91"/>
  <c r="F218" i="91"/>
  <c r="V218" i="91" s="1"/>
  <c r="D111" i="91"/>
  <c r="V9" i="92"/>
  <c r="M211" i="91"/>
  <c r="U211" i="91" s="1"/>
  <c r="O94" i="92"/>
  <c r="D103" i="91"/>
  <c r="S8" i="92"/>
  <c r="G103" i="91"/>
  <c r="K255" i="91"/>
  <c r="F260" i="91"/>
  <c r="F273" i="91" s="1"/>
  <c r="D113" i="91"/>
  <c r="K149" i="91"/>
  <c r="F227" i="91" s="1"/>
  <c r="S258" i="91"/>
  <c r="T258" i="91" s="1"/>
  <c r="K164" i="91"/>
  <c r="K154" i="91" s="1"/>
  <c r="F245" i="91" s="1"/>
  <c r="V245" i="91" s="1"/>
  <c r="D114" i="91"/>
  <c r="G114" i="91"/>
  <c r="G111" i="91"/>
  <c r="E111" i="91"/>
  <c r="J114" i="91"/>
  <c r="C82" i="92"/>
  <c r="D81" i="92" s="1"/>
  <c r="C84" i="92"/>
  <c r="S84" i="92" s="1"/>
  <c r="K20" i="92"/>
  <c r="K22" i="92" s="1"/>
  <c r="K172" i="91"/>
  <c r="K26" i="92"/>
  <c r="K55" i="92" s="1"/>
  <c r="E273" i="91"/>
  <c r="U273" i="91" s="1"/>
  <c r="G67" i="92"/>
  <c r="U81" i="92"/>
  <c r="U82" i="92" s="1"/>
  <c r="V82" i="92" s="1"/>
  <c r="G69" i="92"/>
  <c r="I180" i="71"/>
  <c r="H148" i="91"/>
  <c r="L148" i="91" s="1"/>
  <c r="F35" i="92"/>
  <c r="R180" i="71"/>
  <c r="D82" i="92"/>
  <c r="E39" i="92"/>
  <c r="F39" i="92" s="1"/>
  <c r="N197" i="91"/>
  <c r="N6" i="92" s="1"/>
  <c r="I172" i="91"/>
  <c r="F19" i="92"/>
  <c r="F91" i="92"/>
  <c r="F92" i="92" s="1"/>
  <c r="F18" i="92"/>
  <c r="U18" i="92"/>
  <c r="F44" i="92"/>
  <c r="C47" i="92"/>
  <c r="G47" i="92" s="1"/>
  <c r="C74" i="92"/>
  <c r="D74" i="92" s="1"/>
  <c r="G36" i="92"/>
  <c r="C39" i="92"/>
  <c r="C26" i="92"/>
  <c r="E37" i="92"/>
  <c r="D84" i="92"/>
  <c r="P172" i="91"/>
  <c r="P184" i="91" s="1"/>
  <c r="P189" i="91" s="1"/>
  <c r="K36" i="92"/>
  <c r="S36" i="92" s="1"/>
  <c r="N227" i="91"/>
  <c r="N255" i="91" s="1"/>
  <c r="K176" i="91"/>
  <c r="AB184" i="91"/>
  <c r="AB183" i="91" s="1"/>
  <c r="Q183" i="91" s="1"/>
  <c r="S183" i="91" s="1"/>
  <c r="L175" i="91"/>
  <c r="L172" i="91" s="1"/>
  <c r="I41" i="91"/>
  <c r="H50" i="91" s="1"/>
  <c r="O18" i="92"/>
  <c r="D21" i="91"/>
  <c r="D41" i="91"/>
  <c r="F47" i="92"/>
  <c r="N39" i="91"/>
  <c r="O50" i="91" s="1"/>
  <c r="L136" i="91"/>
  <c r="L135" i="91" s="1"/>
  <c r="I135" i="91"/>
  <c r="I134" i="91" s="1"/>
  <c r="F197" i="91" s="1"/>
  <c r="U19" i="92"/>
  <c r="F36" i="92"/>
  <c r="J103" i="91"/>
  <c r="J109" i="91"/>
  <c r="J111" i="91"/>
  <c r="J110" i="91"/>
  <c r="E103" i="91"/>
  <c r="I104" i="91"/>
  <c r="G113" i="91"/>
  <c r="G110" i="91"/>
  <c r="H114" i="91"/>
  <c r="H113" i="91"/>
  <c r="H110" i="91"/>
  <c r="E109" i="91"/>
  <c r="G109" i="91"/>
  <c r="G112" i="91"/>
  <c r="F113" i="91"/>
  <c r="D109" i="91"/>
  <c r="F111" i="91"/>
  <c r="D112" i="91"/>
  <c r="F114" i="91"/>
  <c r="E110" i="91"/>
  <c r="I113" i="91"/>
  <c r="I111" i="91"/>
  <c r="E114" i="91"/>
  <c r="I114" i="91"/>
  <c r="E112" i="91"/>
  <c r="H111" i="91"/>
  <c r="J104" i="91"/>
  <c r="R190" i="91"/>
  <c r="S245" i="91"/>
  <c r="L180" i="91"/>
  <c r="L155" i="91"/>
  <c r="L154" i="91" s="1"/>
  <c r="C255" i="91"/>
  <c r="S255" i="91" s="1"/>
  <c r="S227" i="91"/>
  <c r="L142" i="91"/>
  <c r="L139" i="91" s="1"/>
  <c r="K139" i="91"/>
  <c r="K134" i="91" s="1"/>
  <c r="P134" i="91"/>
  <c r="C197" i="91" s="1"/>
  <c r="N260" i="91"/>
  <c r="J184" i="91"/>
  <c r="J189" i="91" s="1"/>
  <c r="J190" i="91" s="1"/>
  <c r="K6" i="92"/>
  <c r="K253" i="91"/>
  <c r="S27" i="92"/>
  <c r="K56" i="92"/>
  <c r="T81" i="92"/>
  <c r="T84" i="92"/>
  <c r="T82" i="92"/>
  <c r="F49" i="92"/>
  <c r="E57" i="92"/>
  <c r="E64" i="92"/>
  <c r="D91" i="92"/>
  <c r="D92" i="92" s="1"/>
  <c r="D19" i="92"/>
  <c r="D18" i="92"/>
  <c r="C22" i="92"/>
  <c r="D36" i="92"/>
  <c r="G84" i="92"/>
  <c r="W84" i="92" s="1"/>
  <c r="U84" i="92"/>
  <c r="M27" i="92"/>
  <c r="O27" i="92" s="1"/>
  <c r="W27" i="92" s="1"/>
  <c r="M20" i="92"/>
  <c r="O19" i="92"/>
  <c r="W19" i="92" s="1"/>
  <c r="E82" i="92"/>
  <c r="G81" i="92"/>
  <c r="M35" i="92"/>
  <c r="M36" i="92"/>
  <c r="G18" i="92"/>
  <c r="S18" i="92"/>
  <c r="E28" i="92"/>
  <c r="E74" i="92"/>
  <c r="C35" i="92"/>
  <c r="D35" i="92" s="1"/>
  <c r="M26" i="92"/>
  <c r="S19" i="92"/>
  <c r="M179" i="91"/>
  <c r="N179" i="91" s="1"/>
  <c r="I179" i="91"/>
  <c r="L179" i="91" s="1"/>
  <c r="H147" i="91"/>
  <c r="L147" i="91" s="1"/>
  <c r="H146" i="91"/>
  <c r="L146" i="91" s="1"/>
  <c r="M177" i="91"/>
  <c r="N177" i="91" s="1"/>
  <c r="M178" i="91"/>
  <c r="N178" i="91" s="1"/>
  <c r="I177" i="91"/>
  <c r="L178" i="91"/>
  <c r="K184" i="91" l="1"/>
  <c r="K189" i="91" s="1"/>
  <c r="H103" i="91"/>
  <c r="H105" i="91" s="1"/>
  <c r="H106" i="91" s="1"/>
  <c r="I105" i="91"/>
  <c r="I106" i="91" s="1"/>
  <c r="D86" i="91"/>
  <c r="T209" i="91"/>
  <c r="W209" i="91"/>
  <c r="X209" i="91" s="1"/>
  <c r="G260" i="91"/>
  <c r="H260" i="91" s="1"/>
  <c r="G104" i="91"/>
  <c r="G105" i="91" s="1"/>
  <c r="G106" i="91" s="1"/>
  <c r="E104" i="91"/>
  <c r="E105" i="91" s="1"/>
  <c r="E106" i="91" s="1"/>
  <c r="L18" i="92"/>
  <c r="O26" i="92"/>
  <c r="O28" i="92" s="1"/>
  <c r="K28" i="92"/>
  <c r="L26" i="92" s="1"/>
  <c r="L19" i="92"/>
  <c r="L91" i="92"/>
  <c r="L92" i="92" s="1"/>
  <c r="L35" i="92"/>
  <c r="L44" i="92"/>
  <c r="G39" i="92"/>
  <c r="S26" i="92"/>
  <c r="S28" i="92" s="1"/>
  <c r="T27" i="92" s="1"/>
  <c r="V227" i="91"/>
  <c r="F37" i="92"/>
  <c r="F20" i="92"/>
  <c r="G273" i="91"/>
  <c r="H273" i="91" s="1"/>
  <c r="V84" i="92"/>
  <c r="V81" i="92"/>
  <c r="D47" i="92"/>
  <c r="C49" i="92"/>
  <c r="G49" i="92" s="1"/>
  <c r="U20" i="92"/>
  <c r="V19" i="92" s="1"/>
  <c r="D39" i="92"/>
  <c r="G153" i="91"/>
  <c r="L153" i="91" s="1"/>
  <c r="G152" i="91"/>
  <c r="L152" i="91" s="1"/>
  <c r="G145" i="91"/>
  <c r="G144" i="91" s="1"/>
  <c r="G151" i="91"/>
  <c r="L151" i="91" s="1"/>
  <c r="D37" i="92"/>
  <c r="AB174" i="91"/>
  <c r="Q174" i="91" s="1"/>
  <c r="S174" i="91" s="1"/>
  <c r="N253" i="91"/>
  <c r="I86" i="91"/>
  <c r="K47" i="92"/>
  <c r="S47" i="92" s="1"/>
  <c r="AB175" i="91"/>
  <c r="Q175" i="91" s="1"/>
  <c r="L36" i="92"/>
  <c r="AB179" i="91"/>
  <c r="Q179" i="91" s="1"/>
  <c r="S179" i="91" s="1"/>
  <c r="AB177" i="91"/>
  <c r="Q177" i="91" s="1"/>
  <c r="S177" i="91" s="1"/>
  <c r="AB181" i="91"/>
  <c r="Q181" i="91" s="1"/>
  <c r="AB173" i="91"/>
  <c r="Q173" i="91" s="1"/>
  <c r="S173" i="91" s="1"/>
  <c r="O36" i="92"/>
  <c r="W36" i="92" s="1"/>
  <c r="K37" i="92"/>
  <c r="I168" i="91"/>
  <c r="I188" i="91" s="1"/>
  <c r="C28" i="92"/>
  <c r="C55" i="92"/>
  <c r="S55" i="92" s="1"/>
  <c r="G26" i="92"/>
  <c r="G28" i="92" s="1"/>
  <c r="P168" i="91"/>
  <c r="P188" i="91" s="1"/>
  <c r="P190" i="91" s="1"/>
  <c r="K39" i="92"/>
  <c r="I40" i="91"/>
  <c r="I42" i="91" s="1"/>
  <c r="AB178" i="91"/>
  <c r="AB182" i="91"/>
  <c r="Q182" i="91" s="1"/>
  <c r="S182" i="91" s="1"/>
  <c r="AB189" i="91"/>
  <c r="I44" i="91"/>
  <c r="I21" i="91"/>
  <c r="N21" i="91" s="1"/>
  <c r="S20" i="92"/>
  <c r="T91" i="92" s="1"/>
  <c r="T92" i="92" s="1"/>
  <c r="C50" i="91"/>
  <c r="N41" i="91"/>
  <c r="M50" i="91" s="1"/>
  <c r="J105" i="91"/>
  <c r="J106" i="91" s="1"/>
  <c r="D104" i="91"/>
  <c r="D105" i="91" s="1"/>
  <c r="D106" i="91" s="1"/>
  <c r="H107" i="91"/>
  <c r="L134" i="91"/>
  <c r="F199" i="91"/>
  <c r="K168" i="91"/>
  <c r="K188" i="91" s="1"/>
  <c r="C6" i="92"/>
  <c r="S6" i="92" s="1"/>
  <c r="C253" i="91"/>
  <c r="S253" i="91" s="1"/>
  <c r="S197" i="91"/>
  <c r="V260" i="91"/>
  <c r="W260" i="91" s="1"/>
  <c r="X260" i="91" s="1"/>
  <c r="N273" i="91"/>
  <c r="O260" i="91"/>
  <c r="P260" i="91" s="1"/>
  <c r="V197" i="91"/>
  <c r="F6" i="92"/>
  <c r="V6" i="92" s="1"/>
  <c r="F253" i="91"/>
  <c r="F59" i="92"/>
  <c r="F64" i="92"/>
  <c r="F27" i="92"/>
  <c r="F55" i="92"/>
  <c r="F69" i="92"/>
  <c r="F26" i="92"/>
  <c r="E30" i="92"/>
  <c r="F56" i="92"/>
  <c r="F67" i="92"/>
  <c r="W81" i="92"/>
  <c r="W82" i="92" s="1"/>
  <c r="G82" i="92"/>
  <c r="M56" i="92"/>
  <c r="O56" i="92" s="1"/>
  <c r="W56" i="92" s="1"/>
  <c r="U27" i="92"/>
  <c r="D20" i="92"/>
  <c r="O20" i="92"/>
  <c r="N91" i="92"/>
  <c r="N92" i="92" s="1"/>
  <c r="N36" i="92"/>
  <c r="M22" i="92"/>
  <c r="N18" i="92"/>
  <c r="N19" i="92"/>
  <c r="N35" i="92"/>
  <c r="U26" i="92"/>
  <c r="G35" i="92"/>
  <c r="C44" i="92"/>
  <c r="S35" i="92"/>
  <c r="S37" i="92" s="1"/>
  <c r="C37" i="92"/>
  <c r="F74" i="92"/>
  <c r="G20" i="92"/>
  <c r="W18" i="92"/>
  <c r="W20" i="92" s="1"/>
  <c r="U35" i="92"/>
  <c r="M44" i="92"/>
  <c r="N44" i="92" s="1"/>
  <c r="M37" i="92"/>
  <c r="O35" i="92"/>
  <c r="F81" i="92"/>
  <c r="F82" i="92"/>
  <c r="F84" i="92"/>
  <c r="M55" i="92"/>
  <c r="O55" i="92" s="1"/>
  <c r="M28" i="92"/>
  <c r="M39" i="92"/>
  <c r="N39" i="92" s="1"/>
  <c r="U36" i="92"/>
  <c r="M47" i="92"/>
  <c r="N47" i="92" s="1"/>
  <c r="K57" i="92"/>
  <c r="K64" i="92"/>
  <c r="S56" i="92"/>
  <c r="K59" i="92"/>
  <c r="K74" i="92"/>
  <c r="K67" i="92"/>
  <c r="G74" i="92"/>
  <c r="H144" i="91"/>
  <c r="H143" i="91" s="1"/>
  <c r="H168" i="91" s="1"/>
  <c r="H188" i="91" s="1"/>
  <c r="H190" i="91" s="1"/>
  <c r="N176" i="91"/>
  <c r="N184" i="91" s="1"/>
  <c r="N189" i="91" s="1"/>
  <c r="N190" i="91" s="1"/>
  <c r="M176" i="91"/>
  <c r="M184" i="91" s="1"/>
  <c r="M189" i="91" s="1"/>
  <c r="M190" i="91" s="1"/>
  <c r="L177" i="91"/>
  <c r="L176" i="91" s="1"/>
  <c r="L184" i="91" s="1"/>
  <c r="L189" i="91" s="1"/>
  <c r="I176" i="91"/>
  <c r="I184" i="91" s="1"/>
  <c r="I189" i="91" s="1"/>
  <c r="K190" i="91" l="1"/>
  <c r="I107" i="91"/>
  <c r="F104" i="91"/>
  <c r="F105" i="91" s="1"/>
  <c r="F106" i="91" s="1"/>
  <c r="D107" i="91"/>
  <c r="E107" i="91"/>
  <c r="G107" i="91"/>
  <c r="J107" i="91"/>
  <c r="D6" i="91"/>
  <c r="L37" i="92"/>
  <c r="K30" i="92"/>
  <c r="V36" i="92"/>
  <c r="L20" i="92"/>
  <c r="L55" i="92"/>
  <c r="L56" i="92"/>
  <c r="L27" i="92"/>
  <c r="L28" i="92" s="1"/>
  <c r="V18" i="92"/>
  <c r="V20" i="92" s="1"/>
  <c r="V91" i="92"/>
  <c r="V92" i="92" s="1"/>
  <c r="U22" i="92"/>
  <c r="K49" i="92"/>
  <c r="S49" i="92" s="1"/>
  <c r="T49" i="92" s="1"/>
  <c r="L47" i="92"/>
  <c r="O37" i="92"/>
  <c r="D49" i="92"/>
  <c r="W26" i="92"/>
  <c r="W28" i="92" s="1"/>
  <c r="W30" i="92" s="1"/>
  <c r="V253" i="91"/>
  <c r="U28" i="92"/>
  <c r="U30" i="92" s="1"/>
  <c r="T55" i="92"/>
  <c r="S57" i="92"/>
  <c r="L149" i="91"/>
  <c r="L145" i="91"/>
  <c r="L144" i="91" s="1"/>
  <c r="G149" i="91"/>
  <c r="G143" i="91" s="1"/>
  <c r="G168" i="91" s="1"/>
  <c r="G188" i="91" s="1"/>
  <c r="G190" i="91" s="1"/>
  <c r="AB168" i="91"/>
  <c r="AB172" i="91"/>
  <c r="I190" i="91"/>
  <c r="Q172" i="91"/>
  <c r="K198" i="91"/>
  <c r="S175" i="91"/>
  <c r="S172" i="91" s="1"/>
  <c r="K235" i="91"/>
  <c r="S235" i="91" s="1"/>
  <c r="K208" i="91"/>
  <c r="T36" i="92"/>
  <c r="T26" i="92"/>
  <c r="T28" i="92" s="1"/>
  <c r="C30" i="92"/>
  <c r="D69" i="92"/>
  <c r="D27" i="92"/>
  <c r="D56" i="92"/>
  <c r="D26" i="92"/>
  <c r="D59" i="92"/>
  <c r="D67" i="92"/>
  <c r="D55" i="92"/>
  <c r="D57" i="92" s="1"/>
  <c r="C57" i="92"/>
  <c r="G55" i="92"/>
  <c r="C64" i="92"/>
  <c r="S64" i="92" s="1"/>
  <c r="T64" i="92" s="1"/>
  <c r="H69" i="92"/>
  <c r="H56" i="92"/>
  <c r="H67" i="92"/>
  <c r="H27" i="92"/>
  <c r="H26" i="92"/>
  <c r="G30" i="92"/>
  <c r="H59" i="92"/>
  <c r="L39" i="92"/>
  <c r="S39" i="92"/>
  <c r="T39" i="92" s="1"/>
  <c r="T47" i="92"/>
  <c r="S30" i="92"/>
  <c r="AB180" i="91"/>
  <c r="I50" i="91"/>
  <c r="T18" i="92"/>
  <c r="AB176" i="91"/>
  <c r="Q178" i="91"/>
  <c r="S22" i="92"/>
  <c r="T19" i="92"/>
  <c r="T35" i="92"/>
  <c r="O57" i="92"/>
  <c r="O47" i="92"/>
  <c r="W47" i="92" s="1"/>
  <c r="X47" i="92" s="1"/>
  <c r="S181" i="91"/>
  <c r="S180" i="91" s="1"/>
  <c r="Q180" i="91"/>
  <c r="K244" i="91" s="1"/>
  <c r="D44" i="91"/>
  <c r="D120" i="91" s="1"/>
  <c r="V199" i="91"/>
  <c r="F255" i="91"/>
  <c r="V255" i="91" s="1"/>
  <c r="F8" i="92"/>
  <c r="V8" i="92" s="1"/>
  <c r="V273" i="91"/>
  <c r="W273" i="91" s="1"/>
  <c r="X273" i="91" s="1"/>
  <c r="Y102" i="91" s="1"/>
  <c r="Y104" i="91" s="1"/>
  <c r="O273" i="91"/>
  <c r="P273" i="91" s="1"/>
  <c r="S67" i="92"/>
  <c r="T67" i="92" s="1"/>
  <c r="K69" i="92"/>
  <c r="U39" i="92"/>
  <c r="V39" i="92" s="1"/>
  <c r="O39" i="92"/>
  <c r="W39" i="92" s="1"/>
  <c r="X39" i="92" s="1"/>
  <c r="M30" i="92"/>
  <c r="N27" i="92"/>
  <c r="N55" i="92"/>
  <c r="N26" i="92"/>
  <c r="N56" i="92"/>
  <c r="U37" i="92"/>
  <c r="V35" i="92"/>
  <c r="H19" i="92"/>
  <c r="H74" i="92"/>
  <c r="H35" i="92"/>
  <c r="H49" i="92"/>
  <c r="H18" i="92"/>
  <c r="H20" i="92" s="1"/>
  <c r="H36" i="92"/>
  <c r="H47" i="92"/>
  <c r="G22" i="92"/>
  <c r="H39" i="92"/>
  <c r="H91" i="92"/>
  <c r="H92" i="92" s="1"/>
  <c r="L49" i="92"/>
  <c r="P56" i="92"/>
  <c r="P27" i="92"/>
  <c r="P55" i="92"/>
  <c r="P26" i="92"/>
  <c r="O30" i="92"/>
  <c r="N20" i="92"/>
  <c r="T56" i="92"/>
  <c r="L67" i="92"/>
  <c r="F28" i="92"/>
  <c r="S59" i="92"/>
  <c r="T59" i="92" s="1"/>
  <c r="O44" i="92"/>
  <c r="P44" i="92" s="1"/>
  <c r="U44" i="92"/>
  <c r="V44" i="92" s="1"/>
  <c r="W22" i="92"/>
  <c r="X18" i="92"/>
  <c r="X36" i="92"/>
  <c r="X91" i="92"/>
  <c r="X92" i="92" s="1"/>
  <c r="X19" i="92"/>
  <c r="X82" i="92"/>
  <c r="X84" i="92"/>
  <c r="X81" i="92"/>
  <c r="L59" i="92"/>
  <c r="L64" i="92"/>
  <c r="L74" i="92"/>
  <c r="S74" i="92"/>
  <c r="T74" i="92" s="1"/>
  <c r="M49" i="92"/>
  <c r="U47" i="92"/>
  <c r="V47" i="92" s="1"/>
  <c r="W35" i="92"/>
  <c r="W37" i="92" s="1"/>
  <c r="G37" i="92"/>
  <c r="P36" i="92"/>
  <c r="P18" i="92"/>
  <c r="P19" i="92"/>
  <c r="P35" i="92"/>
  <c r="P91" i="92"/>
  <c r="P92" i="92" s="1"/>
  <c r="O22" i="92"/>
  <c r="H81" i="92"/>
  <c r="H82" i="92" s="1"/>
  <c r="H84" i="92"/>
  <c r="N37" i="92"/>
  <c r="F57" i="92"/>
  <c r="M57" i="92"/>
  <c r="M64" i="92"/>
  <c r="U64" i="92" s="1"/>
  <c r="U55" i="92"/>
  <c r="S44" i="92"/>
  <c r="T44" i="92" s="1"/>
  <c r="G44" i="92"/>
  <c r="D44" i="92"/>
  <c r="M59" i="92"/>
  <c r="U59" i="92" s="1"/>
  <c r="U56" i="92"/>
  <c r="M74" i="92"/>
  <c r="M67" i="92"/>
  <c r="O67" i="92" s="1"/>
  <c r="I51" i="91"/>
  <c r="E120" i="91"/>
  <c r="E122" i="91" s="1"/>
  <c r="E128" i="91" s="1"/>
  <c r="E130" i="91" s="1"/>
  <c r="I6" i="91" l="1"/>
  <c r="V59" i="92"/>
  <c r="V64" i="92"/>
  <c r="X56" i="92"/>
  <c r="V27" i="92"/>
  <c r="L57" i="92"/>
  <c r="V56" i="92"/>
  <c r="V26" i="92"/>
  <c r="V28" i="92" s="1"/>
  <c r="V55" i="92"/>
  <c r="V57" i="92" s="1"/>
  <c r="V37" i="92"/>
  <c r="T57" i="92"/>
  <c r="X26" i="92"/>
  <c r="X27" i="92"/>
  <c r="L143" i="91"/>
  <c r="L168" i="91" s="1"/>
  <c r="L188" i="91" s="1"/>
  <c r="L190" i="91" s="1"/>
  <c r="AB145" i="91"/>
  <c r="AB156" i="91"/>
  <c r="AB136" i="91"/>
  <c r="AB148" i="91"/>
  <c r="Q148" i="91" s="1"/>
  <c r="S148" i="91" s="1"/>
  <c r="AB142" i="91"/>
  <c r="Q142" i="91" s="1"/>
  <c r="S142" i="91" s="1"/>
  <c r="AB163" i="91"/>
  <c r="Q163" i="91" s="1"/>
  <c r="S163" i="91" s="1"/>
  <c r="AB166" i="91"/>
  <c r="Q166" i="91" s="1"/>
  <c r="S166" i="91" s="1"/>
  <c r="AB153" i="91"/>
  <c r="Q153" i="91" s="1"/>
  <c r="S153" i="91" s="1"/>
  <c r="AB141" i="91"/>
  <c r="Q141" i="91" s="1"/>
  <c r="S141" i="91" s="1"/>
  <c r="AB151" i="91"/>
  <c r="Q151" i="91" s="1"/>
  <c r="S151" i="91" s="1"/>
  <c r="AB188" i="91"/>
  <c r="AB190" i="91" s="1"/>
  <c r="AB167" i="91"/>
  <c r="Q167" i="91" s="1"/>
  <c r="AB161" i="91"/>
  <c r="Q161" i="91" s="1"/>
  <c r="S161" i="91" s="1"/>
  <c r="AB147" i="91"/>
  <c r="Q147" i="91" s="1"/>
  <c r="S147" i="91" s="1"/>
  <c r="AB150" i="91"/>
  <c r="AB146" i="91"/>
  <c r="Q146" i="91" s="1"/>
  <c r="S146" i="91" s="1"/>
  <c r="AB140" i="91"/>
  <c r="AB160" i="91"/>
  <c r="AB157" i="91"/>
  <c r="Q157" i="91" s="1"/>
  <c r="S157" i="91" s="1"/>
  <c r="AB162" i="91"/>
  <c r="Q162" i="91" s="1"/>
  <c r="S162" i="91" s="1"/>
  <c r="AB137" i="91"/>
  <c r="Q137" i="91" s="1"/>
  <c r="S137" i="91" s="1"/>
  <c r="AB138" i="91"/>
  <c r="Q138" i="91" s="1"/>
  <c r="S138" i="91" s="1"/>
  <c r="AB158" i="91"/>
  <c r="Q158" i="91" s="1"/>
  <c r="S158" i="91" s="1"/>
  <c r="AB152" i="91"/>
  <c r="Q152" i="91" s="1"/>
  <c r="S152" i="91" s="1"/>
  <c r="AB165" i="91"/>
  <c r="Q165" i="91" s="1"/>
  <c r="S165" i="91" s="1"/>
  <c r="T37" i="92"/>
  <c r="S208" i="91"/>
  <c r="L208" i="91"/>
  <c r="M208" i="91" s="1"/>
  <c r="U208" i="91" s="1"/>
  <c r="N44" i="91"/>
  <c r="N51" i="91" s="1"/>
  <c r="D51" i="91"/>
  <c r="D28" i="92"/>
  <c r="S167" i="91"/>
  <c r="H28" i="92"/>
  <c r="H55" i="92"/>
  <c r="H57" i="92" s="1"/>
  <c r="G57" i="92"/>
  <c r="D64" i="92"/>
  <c r="G64" i="92"/>
  <c r="H64" i="92" s="1"/>
  <c r="W55" i="92"/>
  <c r="W57" i="92" s="1"/>
  <c r="T20" i="92"/>
  <c r="P47" i="92"/>
  <c r="W44" i="92"/>
  <c r="X44" i="92" s="1"/>
  <c r="P39" i="92"/>
  <c r="Q176" i="91"/>
  <c r="Q184" i="91" s="1"/>
  <c r="Q189" i="91" s="1"/>
  <c r="K226" i="91"/>
  <c r="S178" i="91"/>
  <c r="S176" i="91" s="1"/>
  <c r="S184" i="91" s="1"/>
  <c r="S189" i="91" s="1"/>
  <c r="X20" i="92"/>
  <c r="P20" i="92"/>
  <c r="P57" i="92"/>
  <c r="P28" i="92"/>
  <c r="F107" i="91"/>
  <c r="W67" i="92"/>
  <c r="X67" i="92" s="1"/>
  <c r="P67" i="92"/>
  <c r="U74" i="92"/>
  <c r="V74" i="92" s="1"/>
  <c r="N74" i="92"/>
  <c r="U49" i="92"/>
  <c r="V49" i="92" s="1"/>
  <c r="N49" i="92"/>
  <c r="N67" i="92"/>
  <c r="U67" i="92"/>
  <c r="V67" i="92" s="1"/>
  <c r="M69" i="92"/>
  <c r="O69" i="92" s="1"/>
  <c r="H44" i="92"/>
  <c r="N59" i="92"/>
  <c r="S69" i="92"/>
  <c r="T69" i="92" s="1"/>
  <c r="L69" i="92"/>
  <c r="P37" i="92"/>
  <c r="O74" i="92"/>
  <c r="X35" i="92"/>
  <c r="X37" i="92" s="1"/>
  <c r="O59" i="92"/>
  <c r="H37" i="92"/>
  <c r="N57" i="92"/>
  <c r="N64" i="92"/>
  <c r="U57" i="92"/>
  <c r="O64" i="92"/>
  <c r="O49" i="92"/>
  <c r="N28" i="92"/>
  <c r="U182" i="91"/>
  <c r="U173" i="91"/>
  <c r="U175" i="91"/>
  <c r="K200" i="91" s="1"/>
  <c r="U183" i="91"/>
  <c r="U177" i="91"/>
  <c r="U174" i="91"/>
  <c r="U181" i="91"/>
  <c r="U178" i="91"/>
  <c r="U179" i="91"/>
  <c r="D122" i="91"/>
  <c r="D128" i="91" s="1"/>
  <c r="D130" i="91" s="1"/>
  <c r="C120" i="91"/>
  <c r="C122" i="91" s="1"/>
  <c r="C128" i="91" s="1"/>
  <c r="C130" i="91" s="1"/>
  <c r="X28" i="92" l="1"/>
  <c r="D40" i="91"/>
  <c r="D42" i="91" s="1"/>
  <c r="Q140" i="91"/>
  <c r="AB139" i="91"/>
  <c r="Q145" i="91"/>
  <c r="AB144" i="91"/>
  <c r="Q160" i="91"/>
  <c r="AB159" i="91"/>
  <c r="Q156" i="91"/>
  <c r="AB155" i="91"/>
  <c r="AB164" i="91"/>
  <c r="Q150" i="91"/>
  <c r="AB149" i="91"/>
  <c r="AB135" i="91"/>
  <c r="Q136" i="91"/>
  <c r="S164" i="91"/>
  <c r="Q164" i="91"/>
  <c r="T208" i="91"/>
  <c r="X55" i="92"/>
  <c r="X57" i="92" s="1"/>
  <c r="K254" i="91"/>
  <c r="P64" i="92"/>
  <c r="W64" i="92"/>
  <c r="X64" i="92" s="1"/>
  <c r="W69" i="92"/>
  <c r="X69" i="92" s="1"/>
  <c r="P69" i="92"/>
  <c r="U69" i="92"/>
  <c r="V69" i="92" s="1"/>
  <c r="N69" i="92"/>
  <c r="W49" i="92"/>
  <c r="X49" i="92" s="1"/>
  <c r="P49" i="92"/>
  <c r="W74" i="92"/>
  <c r="X74" i="92" s="1"/>
  <c r="P74" i="92"/>
  <c r="W59" i="92"/>
  <c r="X59" i="92" s="1"/>
  <c r="P59" i="92"/>
  <c r="U176" i="91"/>
  <c r="K237" i="91"/>
  <c r="S237" i="91" s="1"/>
  <c r="E173" i="91"/>
  <c r="F173" i="91" s="1"/>
  <c r="O173" i="91" s="1"/>
  <c r="T173" i="91" s="1"/>
  <c r="W173" i="91"/>
  <c r="K210" i="91"/>
  <c r="U172" i="91"/>
  <c r="K228" i="91"/>
  <c r="U180" i="91"/>
  <c r="K246" i="91" s="1"/>
  <c r="U160" i="91"/>
  <c r="U141" i="91"/>
  <c r="U165" i="91"/>
  <c r="U157" i="91"/>
  <c r="U138" i="91"/>
  <c r="U145" i="91"/>
  <c r="U161" i="91"/>
  <c r="U140" i="91"/>
  <c r="U158" i="91"/>
  <c r="U148" i="91"/>
  <c r="U146" i="91"/>
  <c r="U147" i="91"/>
  <c r="U153" i="91"/>
  <c r="U162" i="91"/>
  <c r="U167" i="91"/>
  <c r="U136" i="91"/>
  <c r="U150" i="91"/>
  <c r="U151" i="91"/>
  <c r="U166" i="91"/>
  <c r="U152" i="91"/>
  <c r="U163" i="91"/>
  <c r="U156" i="91"/>
  <c r="U137" i="91"/>
  <c r="U142" i="91"/>
  <c r="N40" i="91" l="1"/>
  <c r="N42" i="91" s="1"/>
  <c r="D50" i="91"/>
  <c r="AB154" i="91"/>
  <c r="S136" i="91"/>
  <c r="S135" i="91" s="1"/>
  <c r="Q135" i="91"/>
  <c r="Q159" i="91"/>
  <c r="S160" i="91"/>
  <c r="S159" i="91" s="1"/>
  <c r="S140" i="91"/>
  <c r="S139" i="91" s="1"/>
  <c r="Q139" i="91"/>
  <c r="S150" i="91"/>
  <c r="S149" i="91" s="1"/>
  <c r="Q149" i="91"/>
  <c r="C226" i="91" s="1"/>
  <c r="S226" i="91" s="1"/>
  <c r="Q155" i="91"/>
  <c r="S156" i="91"/>
  <c r="S155" i="91" s="1"/>
  <c r="Q144" i="91"/>
  <c r="S145" i="91"/>
  <c r="S144" i="91" s="1"/>
  <c r="AB134" i="91"/>
  <c r="AB143" i="91"/>
  <c r="D45" i="91"/>
  <c r="I45" i="91"/>
  <c r="K256" i="91"/>
  <c r="N210" i="91"/>
  <c r="V210" i="91" s="1"/>
  <c r="N208" i="91"/>
  <c r="N211" i="91"/>
  <c r="L210" i="91"/>
  <c r="M210" i="91" s="1"/>
  <c r="S210" i="91"/>
  <c r="K212" i="91"/>
  <c r="U184" i="91"/>
  <c r="U189" i="91" s="1"/>
  <c r="U149" i="91"/>
  <c r="C228" i="91" s="1"/>
  <c r="U159" i="91"/>
  <c r="U155" i="91"/>
  <c r="U144" i="91"/>
  <c r="X173" i="91"/>
  <c r="U164" i="91"/>
  <c r="U135" i="91"/>
  <c r="U139" i="91"/>
  <c r="D87" i="91" l="1"/>
  <c r="D88" i="91" s="1"/>
  <c r="D7" i="91"/>
  <c r="D8" i="91" s="1"/>
  <c r="F8" i="91" s="1"/>
  <c r="N50" i="91"/>
  <c r="Q154" i="91"/>
  <c r="C244" i="91" s="1"/>
  <c r="S244" i="91" s="1"/>
  <c r="S154" i="91"/>
  <c r="S143" i="91"/>
  <c r="S134" i="91"/>
  <c r="Q134" i="91"/>
  <c r="C217" i="91"/>
  <c r="S217" i="91" s="1"/>
  <c r="Q143" i="91"/>
  <c r="N45" i="91"/>
  <c r="H51" i="91"/>
  <c r="I46" i="91"/>
  <c r="J120" i="91"/>
  <c r="C51" i="91"/>
  <c r="D46" i="91"/>
  <c r="I120" i="91"/>
  <c r="I122" i="91" s="1"/>
  <c r="I128" i="91" s="1"/>
  <c r="I130" i="91" s="1"/>
  <c r="S212" i="91"/>
  <c r="K267" i="91"/>
  <c r="V208" i="91"/>
  <c r="O208" i="91"/>
  <c r="N212" i="91"/>
  <c r="N267" i="91" s="1"/>
  <c r="V211" i="91"/>
  <c r="W211" i="91" s="1"/>
  <c r="X211" i="91" s="1"/>
  <c r="O211" i="91"/>
  <c r="P211" i="91" s="1"/>
  <c r="O210" i="91"/>
  <c r="P210" i="91" s="1"/>
  <c r="U210" i="91"/>
  <c r="M212" i="91"/>
  <c r="M267" i="91" s="1"/>
  <c r="U143" i="91"/>
  <c r="C219" i="91"/>
  <c r="U134" i="91"/>
  <c r="U154" i="91"/>
  <c r="C246" i="91" s="1"/>
  <c r="S228" i="91"/>
  <c r="E8" i="91" l="1"/>
  <c r="E7" i="91"/>
  <c r="N38" i="91"/>
  <c r="O40" i="91" s="1"/>
  <c r="I7" i="91"/>
  <c r="I8" i="91" s="1"/>
  <c r="I87" i="91"/>
  <c r="I88" i="91" s="1"/>
  <c r="K88" i="91" s="1"/>
  <c r="E6" i="91"/>
  <c r="S168" i="91"/>
  <c r="S188" i="91" s="1"/>
  <c r="S190" i="91" s="1"/>
  <c r="C198" i="91"/>
  <c r="Q168" i="91"/>
  <c r="Q188" i="91" s="1"/>
  <c r="Q190" i="91" s="1"/>
  <c r="E88" i="91"/>
  <c r="E86" i="91"/>
  <c r="F88" i="91"/>
  <c r="E87" i="91"/>
  <c r="M51" i="91"/>
  <c r="N46" i="91"/>
  <c r="V160" i="91"/>
  <c r="V165" i="91"/>
  <c r="V142" i="91"/>
  <c r="W142" i="91" s="1"/>
  <c r="V150" i="91"/>
  <c r="V148" i="91"/>
  <c r="W148" i="91" s="1"/>
  <c r="V137" i="91"/>
  <c r="W137" i="91" s="1"/>
  <c r="V157" i="91"/>
  <c r="W157" i="91" s="1"/>
  <c r="V152" i="91"/>
  <c r="W152" i="91" s="1"/>
  <c r="V153" i="91"/>
  <c r="W153" i="91" s="1"/>
  <c r="V156" i="91"/>
  <c r="V166" i="91"/>
  <c r="W166" i="91" s="1"/>
  <c r="V163" i="91"/>
  <c r="W163" i="91" s="1"/>
  <c r="V141" i="91"/>
  <c r="W141" i="91" s="1"/>
  <c r="V158" i="91"/>
  <c r="W158" i="91" s="1"/>
  <c r="V138" i="91"/>
  <c r="W138" i="91" s="1"/>
  <c r="V151" i="91"/>
  <c r="W151" i="91" s="1"/>
  <c r="V162" i="91"/>
  <c r="W162" i="91" s="1"/>
  <c r="V167" i="91"/>
  <c r="W167" i="91" s="1"/>
  <c r="V147" i="91"/>
  <c r="W147" i="91" s="1"/>
  <c r="V136" i="91"/>
  <c r="V146" i="91"/>
  <c r="W146" i="91" s="1"/>
  <c r="V145" i="91"/>
  <c r="V161" i="91"/>
  <c r="W161" i="91" s="1"/>
  <c r="V140" i="91"/>
  <c r="H120" i="91"/>
  <c r="H122" i="91" s="1"/>
  <c r="H128" i="91" s="1"/>
  <c r="H130" i="91" s="1"/>
  <c r="V175" i="91"/>
  <c r="V179" i="91"/>
  <c r="W179" i="91" s="1"/>
  <c r="V182" i="91"/>
  <c r="W182" i="91" s="1"/>
  <c r="V183" i="91"/>
  <c r="W183" i="91" s="1"/>
  <c r="V178" i="91"/>
  <c r="W178" i="91" s="1"/>
  <c r="V181" i="91"/>
  <c r="J122" i="91"/>
  <c r="J128" i="91" s="1"/>
  <c r="J130" i="91" s="1"/>
  <c r="V177" i="91"/>
  <c r="V174" i="91"/>
  <c r="W210" i="91"/>
  <c r="X210" i="91" s="1"/>
  <c r="U212" i="91"/>
  <c r="T212" i="91" s="1"/>
  <c r="S267" i="91"/>
  <c r="L267" i="91"/>
  <c r="K279" i="91"/>
  <c r="T210" i="91"/>
  <c r="U267" i="91"/>
  <c r="O267" i="91"/>
  <c r="W208" i="91"/>
  <c r="V212" i="91"/>
  <c r="P208" i="91"/>
  <c r="P212" i="91" s="1"/>
  <c r="O212" i="91"/>
  <c r="N279" i="91"/>
  <c r="V267" i="91"/>
  <c r="L212" i="91"/>
  <c r="C200" i="91"/>
  <c r="U168" i="91"/>
  <c r="U188" i="91" s="1"/>
  <c r="U190" i="91" s="1"/>
  <c r="S246" i="91"/>
  <c r="S219" i="91"/>
  <c r="J87" i="91" l="1"/>
  <c r="O41" i="91"/>
  <c r="N43" i="91"/>
  <c r="O43" i="91" s="1"/>
  <c r="O45" i="91"/>
  <c r="O39" i="91"/>
  <c r="J88" i="91"/>
  <c r="O42" i="91"/>
  <c r="O44" i="91"/>
  <c r="O38" i="91"/>
  <c r="M49" i="91"/>
  <c r="J86" i="91"/>
  <c r="S198" i="91"/>
  <c r="C254" i="91"/>
  <c r="S254" i="91" s="1"/>
  <c r="K8" i="91"/>
  <c r="J6" i="91"/>
  <c r="J8" i="91"/>
  <c r="J7" i="91"/>
  <c r="V180" i="91"/>
  <c r="K247" i="91" s="1"/>
  <c r="W181" i="91"/>
  <c r="W180" i="91" s="1"/>
  <c r="V139" i="91"/>
  <c r="W140" i="91"/>
  <c r="W139" i="91" s="1"/>
  <c r="V135" i="91"/>
  <c r="W136" i="91"/>
  <c r="W135" i="91" s="1"/>
  <c r="V149" i="91"/>
  <c r="C229" i="91" s="1"/>
  <c r="W150" i="91"/>
  <c r="W149" i="91" s="1"/>
  <c r="O46" i="91"/>
  <c r="W177" i="91"/>
  <c r="W176" i="91" s="1"/>
  <c r="V176" i="91"/>
  <c r="K238" i="91"/>
  <c r="V159" i="91"/>
  <c r="W160" i="91"/>
  <c r="W159" i="91" s="1"/>
  <c r="W174" i="91"/>
  <c r="K229" i="91"/>
  <c r="V172" i="91"/>
  <c r="W175" i="91"/>
  <c r="K201" i="91"/>
  <c r="V144" i="91"/>
  <c r="W145" i="91"/>
  <c r="W144" i="91" s="1"/>
  <c r="W156" i="91"/>
  <c r="W155" i="91" s="1"/>
  <c r="V155" i="91"/>
  <c r="V164" i="91"/>
  <c r="W165" i="91"/>
  <c r="W164" i="91" s="1"/>
  <c r="X208" i="91"/>
  <c r="X212" i="91" s="1"/>
  <c r="W212" i="91"/>
  <c r="W267" i="91"/>
  <c r="T267" i="91"/>
  <c r="P267" i="91"/>
  <c r="I66" i="91"/>
  <c r="S200" i="91"/>
  <c r="C256" i="91"/>
  <c r="N47" i="91" l="1"/>
  <c r="O47" i="91" s="1"/>
  <c r="V134" i="91"/>
  <c r="C201" i="91" s="1"/>
  <c r="W143" i="91"/>
  <c r="W172" i="91"/>
  <c r="W184" i="91" s="1"/>
  <c r="W189" i="91" s="1"/>
  <c r="V154" i="91"/>
  <c r="C247" i="91" s="1"/>
  <c r="F247" i="91" s="1"/>
  <c r="N244" i="91"/>
  <c r="N247" i="91"/>
  <c r="N246" i="91"/>
  <c r="K248" i="91"/>
  <c r="K271" i="91" s="1"/>
  <c r="V184" i="91"/>
  <c r="V189" i="91" s="1"/>
  <c r="W154" i="91"/>
  <c r="K203" i="91"/>
  <c r="K266" i="91" s="1"/>
  <c r="N198" i="91"/>
  <c r="N200" i="91"/>
  <c r="K7" i="92"/>
  <c r="K10" i="92" s="1"/>
  <c r="N201" i="91"/>
  <c r="K257" i="91"/>
  <c r="K259" i="91" s="1"/>
  <c r="K261" i="91" s="1"/>
  <c r="K11" i="92" s="1"/>
  <c r="V143" i="91"/>
  <c r="C220" i="91"/>
  <c r="N226" i="91"/>
  <c r="N229" i="91"/>
  <c r="N228" i="91"/>
  <c r="K230" i="91"/>
  <c r="K269" i="91" s="1"/>
  <c r="N238" i="91"/>
  <c r="V238" i="91" s="1"/>
  <c r="K239" i="91"/>
  <c r="K270" i="91" s="1"/>
  <c r="S270" i="91" s="1"/>
  <c r="N237" i="91"/>
  <c r="V237" i="91" s="1"/>
  <c r="S238" i="91"/>
  <c r="S239" i="91" s="1"/>
  <c r="N235" i="91"/>
  <c r="W134" i="91"/>
  <c r="F229" i="91"/>
  <c r="S229" i="91"/>
  <c r="S230" i="91" s="1"/>
  <c r="F226" i="91"/>
  <c r="C230" i="91"/>
  <c r="C269" i="91" s="1"/>
  <c r="F228" i="91"/>
  <c r="X267" i="91"/>
  <c r="N66" i="91"/>
  <c r="S256" i="91"/>
  <c r="W168" i="91" l="1"/>
  <c r="W188" i="91" s="1"/>
  <c r="W190" i="91" s="1"/>
  <c r="V229" i="91"/>
  <c r="V168" i="91"/>
  <c r="V188" i="91" s="1"/>
  <c r="V190" i="91" s="1"/>
  <c r="F246" i="91"/>
  <c r="V246" i="91" s="1"/>
  <c r="K12" i="92"/>
  <c r="V228" i="91"/>
  <c r="C248" i="91"/>
  <c r="C271" i="91" s="1"/>
  <c r="S271" i="91" s="1"/>
  <c r="F244" i="91"/>
  <c r="V244" i="91" s="1"/>
  <c r="S247" i="91"/>
  <c r="S248" i="91" s="1"/>
  <c r="N256" i="91"/>
  <c r="N7" i="92"/>
  <c r="N10" i="92" s="1"/>
  <c r="N203" i="91"/>
  <c r="N266" i="91" s="1"/>
  <c r="N254" i="91"/>
  <c r="S269" i="91"/>
  <c r="N248" i="91"/>
  <c r="N271" i="91" s="1"/>
  <c r="S220" i="91"/>
  <c r="S221" i="91" s="1"/>
  <c r="F220" i="91"/>
  <c r="V220" i="91" s="1"/>
  <c r="F217" i="91"/>
  <c r="C221" i="91"/>
  <c r="C268" i="91" s="1"/>
  <c r="S268" i="91" s="1"/>
  <c r="F219" i="91"/>
  <c r="V219" i="91" s="1"/>
  <c r="V235" i="91"/>
  <c r="V239" i="91" s="1"/>
  <c r="N239" i="91"/>
  <c r="N270" i="91" s="1"/>
  <c r="V270" i="91" s="1"/>
  <c r="S201" i="91"/>
  <c r="S203" i="91" s="1"/>
  <c r="C257" i="91"/>
  <c r="C203" i="91"/>
  <c r="C266" i="91" s="1"/>
  <c r="S266" i="91" s="1"/>
  <c r="C7" i="92"/>
  <c r="F201" i="91"/>
  <c r="F198" i="91"/>
  <c r="F200" i="91"/>
  <c r="N230" i="91"/>
  <c r="N269" i="91" s="1"/>
  <c r="V247" i="91"/>
  <c r="F230" i="91"/>
  <c r="F269" i="91" s="1"/>
  <c r="V226" i="91"/>
  <c r="N257" i="91"/>
  <c r="K272" i="91"/>
  <c r="K274" i="91" s="1"/>
  <c r="V269" i="91" l="1"/>
  <c r="C272" i="91"/>
  <c r="C274" i="91" s="1"/>
  <c r="F248" i="91"/>
  <c r="F271" i="91" s="1"/>
  <c r="V271" i="91" s="1"/>
  <c r="V230" i="91"/>
  <c r="V198" i="91"/>
  <c r="F203" i="91"/>
  <c r="F266" i="91" s="1"/>
  <c r="F7" i="92"/>
  <c r="F254" i="91"/>
  <c r="S257" i="91"/>
  <c r="S259" i="91" s="1"/>
  <c r="S261" i="91" s="1"/>
  <c r="C259" i="91"/>
  <c r="C261" i="91" s="1"/>
  <c r="C11" i="92" s="1"/>
  <c r="F221" i="91"/>
  <c r="F268" i="91" s="1"/>
  <c r="V268" i="91" s="1"/>
  <c r="V217" i="91"/>
  <c r="V221" i="91" s="1"/>
  <c r="V248" i="91"/>
  <c r="K280" i="91"/>
  <c r="K281" i="91" s="1"/>
  <c r="K282" i="91"/>
  <c r="V200" i="91"/>
  <c r="F256" i="91"/>
  <c r="V256" i="91" s="1"/>
  <c r="S7" i="92"/>
  <c r="S10" i="92" s="1"/>
  <c r="C10" i="92"/>
  <c r="N272" i="91"/>
  <c r="N274" i="91" s="1"/>
  <c r="F257" i="91"/>
  <c r="V257" i="91" s="1"/>
  <c r="V201" i="91"/>
  <c r="N259" i="91"/>
  <c r="N261" i="91" s="1"/>
  <c r="N11" i="92" s="1"/>
  <c r="N12" i="92" s="1"/>
  <c r="S272" i="91"/>
  <c r="V203" i="91" l="1"/>
  <c r="V266" i="91"/>
  <c r="V272" i="91" s="1"/>
  <c r="V274" i="91" s="1"/>
  <c r="F272" i="91"/>
  <c r="F274" i="91" s="1"/>
  <c r="K288" i="91"/>
  <c r="K283" i="91"/>
  <c r="V7" i="92"/>
  <c r="V10" i="92" s="1"/>
  <c r="F10" i="92"/>
  <c r="N282" i="91"/>
  <c r="N280" i="91"/>
  <c r="N281" i="91" s="1"/>
  <c r="F259" i="91"/>
  <c r="F261" i="91" s="1"/>
  <c r="F11" i="92" s="1"/>
  <c r="V254" i="91"/>
  <c r="V259" i="91" s="1"/>
  <c r="V261" i="91" s="1"/>
  <c r="S11" i="92"/>
  <c r="C12" i="92"/>
  <c r="S274" i="91"/>
  <c r="N283" i="91" l="1"/>
  <c r="V11" i="92"/>
  <c r="V12" i="92" s="1"/>
  <c r="F12" i="92"/>
  <c r="K290" i="91"/>
  <c r="K289" i="91"/>
  <c r="S12" i="92"/>
  <c r="D22" i="91" l="1"/>
  <c r="E68" i="92"/>
  <c r="E48" i="92"/>
  <c r="E38" i="92"/>
  <c r="E58" i="92"/>
  <c r="E83" i="92"/>
  <c r="E45" i="92"/>
  <c r="E65" i="92"/>
  <c r="F58" i="92" l="1"/>
  <c r="F60" i="92" s="1"/>
  <c r="F61" i="92" s="1"/>
  <c r="E60" i="92"/>
  <c r="E61" i="92" s="1"/>
  <c r="E75" i="92"/>
  <c r="F75" i="92" s="1"/>
  <c r="F68" i="92"/>
  <c r="F70" i="92" s="1"/>
  <c r="E70" i="92"/>
  <c r="E66" i="92"/>
  <c r="F65" i="92"/>
  <c r="F66" i="92" s="1"/>
  <c r="F83" i="92"/>
  <c r="E85" i="92"/>
  <c r="E46" i="92"/>
  <c r="F45" i="92"/>
  <c r="F46" i="92" s="1"/>
  <c r="F48" i="92"/>
  <c r="F50" i="92" s="1"/>
  <c r="E50" i="92"/>
  <c r="D257" i="91"/>
  <c r="E257" i="91" s="1"/>
  <c r="G257" i="91" s="1"/>
  <c r="H257" i="91" s="1"/>
  <c r="D246" i="91"/>
  <c r="E246" i="91" s="1"/>
  <c r="G246" i="91" s="1"/>
  <c r="H246" i="91" s="1"/>
  <c r="D255" i="91"/>
  <c r="E255" i="91" s="1"/>
  <c r="G255" i="91" s="1"/>
  <c r="H255" i="91" s="1"/>
  <c r="D197" i="91"/>
  <c r="E197" i="91" s="1"/>
  <c r="D227" i="91"/>
  <c r="E227" i="91" s="1"/>
  <c r="G227" i="91" s="1"/>
  <c r="H227" i="91" s="1"/>
  <c r="C58" i="92"/>
  <c r="D198" i="91"/>
  <c r="E198" i="91" s="1"/>
  <c r="D256" i="91"/>
  <c r="E256" i="91" s="1"/>
  <c r="G256" i="91" s="1"/>
  <c r="H256" i="91" s="1"/>
  <c r="D218" i="91"/>
  <c r="E218" i="91" s="1"/>
  <c r="D201" i="91"/>
  <c r="E201" i="91" s="1"/>
  <c r="G201" i="91" s="1"/>
  <c r="H201" i="91" s="1"/>
  <c r="D229" i="91"/>
  <c r="E229" i="91" s="1"/>
  <c r="G229" i="91" s="1"/>
  <c r="H229" i="91" s="1"/>
  <c r="C83" i="92"/>
  <c r="D219" i="91"/>
  <c r="E219" i="91" s="1"/>
  <c r="D8" i="92"/>
  <c r="D7" i="92"/>
  <c r="D6" i="92"/>
  <c r="C168" i="91"/>
  <c r="D245" i="91"/>
  <c r="E245" i="91" s="1"/>
  <c r="G245" i="91" s="1"/>
  <c r="H245" i="91" s="1"/>
  <c r="D254" i="91"/>
  <c r="E254" i="91" s="1"/>
  <c r="G254" i="91" s="1"/>
  <c r="H254" i="91" s="1"/>
  <c r="D220" i="91"/>
  <c r="E220" i="91" s="1"/>
  <c r="D9" i="92"/>
  <c r="C45" i="92"/>
  <c r="C38" i="92"/>
  <c r="D228" i="91"/>
  <c r="E228" i="91" s="1"/>
  <c r="G228" i="91" s="1"/>
  <c r="H228" i="91" s="1"/>
  <c r="D258" i="91"/>
  <c r="E258" i="91" s="1"/>
  <c r="G258" i="91" s="1"/>
  <c r="H258" i="91" s="1"/>
  <c r="C65" i="92"/>
  <c r="D199" i="91"/>
  <c r="E199" i="91" s="1"/>
  <c r="D226" i="91"/>
  <c r="E226" i="91" s="1"/>
  <c r="D217" i="91"/>
  <c r="E217" i="91" s="1"/>
  <c r="D247" i="91"/>
  <c r="E247" i="91" s="1"/>
  <c r="G247" i="91" s="1"/>
  <c r="H247" i="91" s="1"/>
  <c r="D253" i="91"/>
  <c r="E253" i="91" s="1"/>
  <c r="D200" i="91"/>
  <c r="E200" i="91" s="1"/>
  <c r="G200" i="91" s="1"/>
  <c r="H200" i="91" s="1"/>
  <c r="C68" i="92"/>
  <c r="C48" i="92"/>
  <c r="D244" i="91"/>
  <c r="E244" i="91" s="1"/>
  <c r="D202" i="91"/>
  <c r="E202" i="91" s="1"/>
  <c r="E40" i="92"/>
  <c r="E41" i="92" s="1"/>
  <c r="F38" i="92"/>
  <c r="F40" i="92" s="1"/>
  <c r="F41" i="92" s="1"/>
  <c r="F71" i="92" l="1"/>
  <c r="E71" i="92"/>
  <c r="F51" i="92"/>
  <c r="G244" i="91"/>
  <c r="E248" i="91"/>
  <c r="G253" i="91"/>
  <c r="E259" i="91"/>
  <c r="G199" i="91"/>
  <c r="H199" i="91" s="1"/>
  <c r="E8" i="92"/>
  <c r="G8" i="92" s="1"/>
  <c r="H8" i="92" s="1"/>
  <c r="C40" i="92"/>
  <c r="C41" i="92" s="1"/>
  <c r="D38" i="92"/>
  <c r="D40" i="92" s="1"/>
  <c r="D41" i="92" s="1"/>
  <c r="G38" i="92"/>
  <c r="C85" i="92"/>
  <c r="D83" i="92"/>
  <c r="G83" i="92"/>
  <c r="U218" i="91"/>
  <c r="G218" i="91"/>
  <c r="H218" i="91" s="1"/>
  <c r="E51" i="92"/>
  <c r="C50" i="92"/>
  <c r="G48" i="92"/>
  <c r="D48" i="92"/>
  <c r="D50" i="92" s="1"/>
  <c r="E9" i="92"/>
  <c r="G9" i="92" s="1"/>
  <c r="H9" i="92" s="1"/>
  <c r="G202" i="91"/>
  <c r="H202" i="91" s="1"/>
  <c r="G226" i="91"/>
  <c r="E230" i="91"/>
  <c r="U220" i="91"/>
  <c r="G220" i="91"/>
  <c r="H220" i="91" s="1"/>
  <c r="G219" i="91"/>
  <c r="H219" i="91" s="1"/>
  <c r="U219" i="91"/>
  <c r="D23" i="91"/>
  <c r="D38" i="91"/>
  <c r="D58" i="92"/>
  <c r="D60" i="92" s="1"/>
  <c r="D61" i="92" s="1"/>
  <c r="C75" i="92"/>
  <c r="C60" i="92"/>
  <c r="C61" i="92" s="1"/>
  <c r="G58" i="92"/>
  <c r="E86" i="92"/>
  <c r="F86" i="92" s="1"/>
  <c r="F85" i="92"/>
  <c r="G68" i="92"/>
  <c r="D68" i="92"/>
  <c r="D70" i="92" s="1"/>
  <c r="C70" i="92"/>
  <c r="G217" i="91"/>
  <c r="E221" i="91"/>
  <c r="U217" i="91"/>
  <c r="E163" i="91"/>
  <c r="F163" i="91" s="1"/>
  <c r="O163" i="91" s="1"/>
  <c r="T163" i="91" s="1"/>
  <c r="X163" i="91" s="1"/>
  <c r="E152" i="91"/>
  <c r="F152" i="91" s="1"/>
  <c r="O152" i="91" s="1"/>
  <c r="T152" i="91" s="1"/>
  <c r="X152" i="91" s="1"/>
  <c r="E160" i="91"/>
  <c r="E157" i="91"/>
  <c r="F157" i="91" s="1"/>
  <c r="O157" i="91" s="1"/>
  <c r="T157" i="91" s="1"/>
  <c r="X157" i="91" s="1"/>
  <c r="E145" i="91"/>
  <c r="E142" i="91"/>
  <c r="F142" i="91" s="1"/>
  <c r="O142" i="91" s="1"/>
  <c r="T142" i="91" s="1"/>
  <c r="X142" i="91" s="1"/>
  <c r="E141" i="91"/>
  <c r="F141" i="91" s="1"/>
  <c r="O141" i="91" s="1"/>
  <c r="T141" i="91" s="1"/>
  <c r="X141" i="91" s="1"/>
  <c r="E158" i="91"/>
  <c r="F158" i="91" s="1"/>
  <c r="O158" i="91" s="1"/>
  <c r="T158" i="91" s="1"/>
  <c r="X158" i="91" s="1"/>
  <c r="E146" i="91"/>
  <c r="F146" i="91" s="1"/>
  <c r="O146" i="91" s="1"/>
  <c r="T146" i="91" s="1"/>
  <c r="X146" i="91" s="1"/>
  <c r="E138" i="91"/>
  <c r="F138" i="91" s="1"/>
  <c r="O138" i="91" s="1"/>
  <c r="T138" i="91" s="1"/>
  <c r="X138" i="91" s="1"/>
  <c r="E161" i="91"/>
  <c r="F161" i="91" s="1"/>
  <c r="O161" i="91" s="1"/>
  <c r="T161" i="91" s="1"/>
  <c r="X161" i="91" s="1"/>
  <c r="E165" i="91"/>
  <c r="E162" i="91"/>
  <c r="F162" i="91" s="1"/>
  <c r="O162" i="91" s="1"/>
  <c r="T162" i="91" s="1"/>
  <c r="X162" i="91" s="1"/>
  <c r="E151" i="91"/>
  <c r="F151" i="91" s="1"/>
  <c r="O151" i="91" s="1"/>
  <c r="T151" i="91" s="1"/>
  <c r="X151" i="91" s="1"/>
  <c r="E167" i="91"/>
  <c r="F167" i="91" s="1"/>
  <c r="O167" i="91" s="1"/>
  <c r="T167" i="91" s="1"/>
  <c r="X167" i="91" s="1"/>
  <c r="E156" i="91"/>
  <c r="E140" i="91"/>
  <c r="E166" i="91"/>
  <c r="F166" i="91" s="1"/>
  <c r="O166" i="91" s="1"/>
  <c r="T166" i="91" s="1"/>
  <c r="X166" i="91" s="1"/>
  <c r="E148" i="91"/>
  <c r="F148" i="91" s="1"/>
  <c r="O148" i="91" s="1"/>
  <c r="T148" i="91" s="1"/>
  <c r="X148" i="91" s="1"/>
  <c r="E137" i="91"/>
  <c r="F137" i="91" s="1"/>
  <c r="O137" i="91" s="1"/>
  <c r="T137" i="91" s="1"/>
  <c r="X137" i="91" s="1"/>
  <c r="E136" i="91"/>
  <c r="E150" i="91"/>
  <c r="E153" i="91"/>
  <c r="F153" i="91" s="1"/>
  <c r="O153" i="91" s="1"/>
  <c r="T153" i="91" s="1"/>
  <c r="X153" i="91" s="1"/>
  <c r="E147" i="91"/>
  <c r="F147" i="91" s="1"/>
  <c r="O147" i="91" s="1"/>
  <c r="T147" i="91" s="1"/>
  <c r="X147" i="91" s="1"/>
  <c r="G198" i="91"/>
  <c r="H198" i="91" s="1"/>
  <c r="E7" i="92"/>
  <c r="G7" i="92" s="1"/>
  <c r="H7" i="92" s="1"/>
  <c r="D65" i="92"/>
  <c r="D66" i="92" s="1"/>
  <c r="G65" i="92"/>
  <c r="C66" i="92"/>
  <c r="C46" i="92"/>
  <c r="D45" i="92"/>
  <c r="D46" i="92" s="1"/>
  <c r="G45" i="92"/>
  <c r="G197" i="91"/>
  <c r="E6" i="92"/>
  <c r="E203" i="91"/>
  <c r="E76" i="92"/>
  <c r="F76" i="92" s="1"/>
  <c r="D71" i="92" l="1"/>
  <c r="C71" i="92"/>
  <c r="C51" i="92"/>
  <c r="C76" i="92"/>
  <c r="D76" i="92" s="1"/>
  <c r="G203" i="91"/>
  <c r="H197" i="91"/>
  <c r="H203" i="91" s="1"/>
  <c r="E139" i="91"/>
  <c r="F140" i="91"/>
  <c r="F145" i="91"/>
  <c r="E144" i="91"/>
  <c r="H253" i="91"/>
  <c r="H259" i="91" s="1"/>
  <c r="H261" i="91" s="1"/>
  <c r="G259" i="91"/>
  <c r="G261" i="91" s="1"/>
  <c r="G221" i="91"/>
  <c r="H217" i="91"/>
  <c r="H221" i="91" s="1"/>
  <c r="G60" i="92"/>
  <c r="G61" i="92" s="1"/>
  <c r="H58" i="92"/>
  <c r="H60" i="92" s="1"/>
  <c r="H61" i="92" s="1"/>
  <c r="E39" i="91"/>
  <c r="D43" i="91"/>
  <c r="E44" i="91"/>
  <c r="E42" i="91"/>
  <c r="C49" i="91"/>
  <c r="E40" i="91"/>
  <c r="E45" i="91"/>
  <c r="E38" i="91"/>
  <c r="E41" i="91"/>
  <c r="E46" i="91"/>
  <c r="E261" i="91"/>
  <c r="D259" i="91"/>
  <c r="E266" i="91"/>
  <c r="D203" i="91"/>
  <c r="E159" i="91"/>
  <c r="F160" i="91"/>
  <c r="E268" i="91"/>
  <c r="D221" i="91"/>
  <c r="H68" i="92"/>
  <c r="H70" i="92" s="1"/>
  <c r="G70" i="92"/>
  <c r="W219" i="91"/>
  <c r="X219" i="91" s="1"/>
  <c r="T219" i="91"/>
  <c r="W218" i="91"/>
  <c r="X218" i="91" s="1"/>
  <c r="T218" i="91"/>
  <c r="G40" i="92"/>
  <c r="G41" i="92" s="1"/>
  <c r="H38" i="92"/>
  <c r="H40" i="92" s="1"/>
  <c r="H41" i="92" s="1"/>
  <c r="G248" i="91"/>
  <c r="H244" i="91"/>
  <c r="H248" i="91" s="1"/>
  <c r="D51" i="92"/>
  <c r="E135" i="91"/>
  <c r="F136" i="91"/>
  <c r="E269" i="91"/>
  <c r="D230" i="91"/>
  <c r="H48" i="92"/>
  <c r="H50" i="92" s="1"/>
  <c r="G50" i="92"/>
  <c r="G6" i="92"/>
  <c r="E10" i="92"/>
  <c r="D10" i="92" s="1"/>
  <c r="E149" i="91"/>
  <c r="F150" i="91"/>
  <c r="T220" i="91"/>
  <c r="W220" i="91"/>
  <c r="X220" i="91" s="1"/>
  <c r="G85" i="92"/>
  <c r="G86" i="92" s="1"/>
  <c r="H86" i="92" s="1"/>
  <c r="H83" i="92"/>
  <c r="H85" i="92" s="1"/>
  <c r="H45" i="92"/>
  <c r="H46" i="92" s="1"/>
  <c r="G46" i="92"/>
  <c r="G66" i="92"/>
  <c r="H65" i="92"/>
  <c r="H66" i="92" s="1"/>
  <c r="E155" i="91"/>
  <c r="F156" i="91"/>
  <c r="E164" i="91"/>
  <c r="F165" i="91"/>
  <c r="W217" i="91"/>
  <c r="U221" i="91"/>
  <c r="T221" i="91" s="1"/>
  <c r="T217" i="91"/>
  <c r="D75" i="92"/>
  <c r="G75" i="92"/>
  <c r="H75" i="92" s="1"/>
  <c r="D24" i="91"/>
  <c r="H226" i="91"/>
  <c r="H230" i="91" s="1"/>
  <c r="G230" i="91"/>
  <c r="D85" i="92"/>
  <c r="C86" i="92"/>
  <c r="D86" i="92" s="1"/>
  <c r="E271" i="91"/>
  <c r="D248" i="91"/>
  <c r="G51" i="92" l="1"/>
  <c r="H51" i="92"/>
  <c r="G71" i="92"/>
  <c r="E21" i="91"/>
  <c r="F24" i="91"/>
  <c r="E24" i="91"/>
  <c r="E22" i="91"/>
  <c r="O165" i="91"/>
  <c r="F164" i="91"/>
  <c r="O160" i="91"/>
  <c r="F159" i="91"/>
  <c r="E43" i="91"/>
  <c r="D47" i="91"/>
  <c r="E47" i="91" s="1"/>
  <c r="F139" i="91"/>
  <c r="O140" i="91"/>
  <c r="H71" i="92"/>
  <c r="E134" i="91"/>
  <c r="H6" i="92"/>
  <c r="H10" i="92" s="1"/>
  <c r="G10" i="92"/>
  <c r="X217" i="91"/>
  <c r="X221" i="91" s="1"/>
  <c r="W221" i="91"/>
  <c r="O136" i="91"/>
  <c r="F135" i="91"/>
  <c r="U268" i="91"/>
  <c r="D268" i="91"/>
  <c r="G268" i="91"/>
  <c r="E272" i="91"/>
  <c r="D266" i="91"/>
  <c r="G266" i="91"/>
  <c r="F144" i="91"/>
  <c r="O145" i="91"/>
  <c r="E154" i="91"/>
  <c r="G76" i="92"/>
  <c r="H76" i="92" s="1"/>
  <c r="D271" i="91"/>
  <c r="G271" i="91"/>
  <c r="O156" i="91"/>
  <c r="F155" i="91"/>
  <c r="F149" i="91"/>
  <c r="O150" i="91"/>
  <c r="D269" i="91"/>
  <c r="G269" i="91"/>
  <c r="E11" i="92"/>
  <c r="D261" i="91"/>
  <c r="E23" i="91"/>
  <c r="E143" i="91"/>
  <c r="F154" i="91" l="1"/>
  <c r="F134" i="91"/>
  <c r="E274" i="91"/>
  <c r="D274" i="91" s="1"/>
  <c r="D272" i="91"/>
  <c r="T150" i="91"/>
  <c r="O149" i="91"/>
  <c r="T165" i="91"/>
  <c r="O164" i="91"/>
  <c r="F143" i="91"/>
  <c r="H271" i="91"/>
  <c r="D70" i="91"/>
  <c r="H268" i="91"/>
  <c r="D67" i="91"/>
  <c r="O139" i="91"/>
  <c r="T140" i="91"/>
  <c r="T160" i="91"/>
  <c r="O159" i="91"/>
  <c r="G11" i="92"/>
  <c r="E12" i="92"/>
  <c r="D11" i="92"/>
  <c r="D68" i="91"/>
  <c r="H269" i="91"/>
  <c r="W268" i="91"/>
  <c r="T268" i="91"/>
  <c r="O155" i="91"/>
  <c r="T156" i="91"/>
  <c r="O144" i="91"/>
  <c r="T145" i="91"/>
  <c r="H266" i="91"/>
  <c r="G272" i="91"/>
  <c r="G274" i="91" s="1"/>
  <c r="D65" i="91"/>
  <c r="O135" i="91"/>
  <c r="T136" i="91"/>
  <c r="E168" i="91"/>
  <c r="E188" i="91" s="1"/>
  <c r="O143" i="91" l="1"/>
  <c r="F168" i="91"/>
  <c r="F188" i="91" s="1"/>
  <c r="O134" i="91"/>
  <c r="O154" i="91"/>
  <c r="D71" i="91"/>
  <c r="E65" i="91" s="1"/>
  <c r="X268" i="91"/>
  <c r="N67" i="91"/>
  <c r="X160" i="91"/>
  <c r="X159" i="91" s="1"/>
  <c r="T159" i="91"/>
  <c r="T144" i="91"/>
  <c r="X145" i="91"/>
  <c r="X144" i="91" s="1"/>
  <c r="G12" i="92"/>
  <c r="H11" i="92"/>
  <c r="X136" i="91"/>
  <c r="X135" i="91" s="1"/>
  <c r="T135" i="91"/>
  <c r="X165" i="91"/>
  <c r="X164" i="91" s="1"/>
  <c r="T164" i="91"/>
  <c r="H272" i="91"/>
  <c r="H274" i="91" s="1"/>
  <c r="T155" i="91"/>
  <c r="X156" i="91"/>
  <c r="X155" i="91" s="1"/>
  <c r="T139" i="91"/>
  <c r="X140" i="91"/>
  <c r="X139" i="91" s="1"/>
  <c r="X150" i="91"/>
  <c r="X149" i="91" s="1"/>
  <c r="T149" i="91"/>
  <c r="O168" i="91" l="1"/>
  <c r="O188" i="91" s="1"/>
  <c r="X154" i="91"/>
  <c r="T154" i="91"/>
  <c r="X134" i="91"/>
  <c r="T143" i="91"/>
  <c r="T134" i="91"/>
  <c r="X143" i="91"/>
  <c r="E69" i="91"/>
  <c r="E66" i="91"/>
  <c r="E67" i="91"/>
  <c r="E70" i="91"/>
  <c r="E68" i="91"/>
  <c r="X168" i="91" l="1"/>
  <c r="X188" i="91" s="1"/>
  <c r="E71" i="91"/>
  <c r="T168" i="91"/>
  <c r="T188" i="91" s="1"/>
  <c r="N48" i="92" l="1"/>
  <c r="N50" i="92" s="1"/>
  <c r="N65" i="92"/>
  <c r="N66" i="92" s="1"/>
  <c r="L45" i="92"/>
  <c r="L46" i="92" s="1"/>
  <c r="L38" i="92"/>
  <c r="L40" i="92" s="1"/>
  <c r="L41" i="92" s="1"/>
  <c r="L65" i="92"/>
  <c r="L66" i="92" s="1"/>
  <c r="N45" i="92"/>
  <c r="N46" i="92" s="1"/>
  <c r="N58" i="92"/>
  <c r="N60" i="92" s="1"/>
  <c r="N61" i="92" s="1"/>
  <c r="L48" i="92"/>
  <c r="L50" i="92" s="1"/>
  <c r="L58" i="92"/>
  <c r="L60" i="92" s="1"/>
  <c r="L61" i="92" s="1"/>
  <c r="N68" i="92"/>
  <c r="N70" i="92" s="1"/>
  <c r="N38" i="92"/>
  <c r="N40" i="92" s="1"/>
  <c r="N41" i="92" s="1"/>
  <c r="L68" i="92"/>
  <c r="L70" i="92" s="1"/>
  <c r="N51" i="92" l="1"/>
  <c r="V38" i="92"/>
  <c r="V40" i="92" s="1"/>
  <c r="V41" i="92" s="1"/>
  <c r="L75" i="92"/>
  <c r="N75" i="92"/>
  <c r="V83" i="92"/>
  <c r="L51" i="92"/>
  <c r="V68" i="92"/>
  <c r="V70" i="92" s="1"/>
  <c r="T58" i="92"/>
  <c r="T60" i="92" s="1"/>
  <c r="T61" i="92" s="1"/>
  <c r="V58" i="92"/>
  <c r="V60" i="92" s="1"/>
  <c r="V61" i="92" s="1"/>
  <c r="T83" i="92"/>
  <c r="T38" i="92"/>
  <c r="T40" i="92" s="1"/>
  <c r="T41" i="92" s="1"/>
  <c r="T45" i="92"/>
  <c r="T46" i="92" s="1"/>
  <c r="V48" i="92"/>
  <c r="V50" i="92" s="1"/>
  <c r="L71" i="92"/>
  <c r="N71" i="92"/>
  <c r="P68" i="92"/>
  <c r="P70" i="92" s="1"/>
  <c r="P58" i="92"/>
  <c r="P60" i="92" s="1"/>
  <c r="P61" i="92" s="1"/>
  <c r="V45" i="92"/>
  <c r="V46" i="92" s="1"/>
  <c r="P38" i="92"/>
  <c r="P40" i="92" s="1"/>
  <c r="P41" i="92" s="1"/>
  <c r="P45" i="92"/>
  <c r="P46" i="92" s="1"/>
  <c r="T68" i="92"/>
  <c r="T70" i="92" s="1"/>
  <c r="P48" i="92"/>
  <c r="P50" i="92" s="1"/>
  <c r="P65" i="92"/>
  <c r="P66" i="92" s="1"/>
  <c r="V65" i="92"/>
  <c r="V66" i="92" s="1"/>
  <c r="T65" i="92" l="1"/>
  <c r="T66" i="92" s="1"/>
  <c r="T71" i="92" s="1"/>
  <c r="T48" i="92"/>
  <c r="T50" i="92" s="1"/>
  <c r="T51" i="92" s="1"/>
  <c r="V51" i="92"/>
  <c r="T228" i="91"/>
  <c r="X38" i="92"/>
  <c r="X40" i="92" s="1"/>
  <c r="X41" i="92" s="1"/>
  <c r="T200" i="91"/>
  <c r="X68" i="92"/>
  <c r="X70" i="92" s="1"/>
  <c r="X65" i="92"/>
  <c r="X66" i="92" s="1"/>
  <c r="X45" i="92"/>
  <c r="X46" i="92" s="1"/>
  <c r="V71" i="92"/>
  <c r="T198" i="91"/>
  <c r="T246" i="91"/>
  <c r="X58" i="92"/>
  <c r="X60" i="92" s="1"/>
  <c r="X61" i="92" s="1"/>
  <c r="T226" i="91"/>
  <c r="T85" i="92"/>
  <c r="V85" i="92"/>
  <c r="T197" i="91"/>
  <c r="P71" i="92"/>
  <c r="P51" i="92"/>
  <c r="T244" i="91"/>
  <c r="T235" i="91"/>
  <c r="T201" i="91"/>
  <c r="T247" i="91"/>
  <c r="X83" i="92"/>
  <c r="P75" i="92"/>
  <c r="T229" i="91"/>
  <c r="X71" i="92" l="1"/>
  <c r="T253" i="91"/>
  <c r="T256" i="91"/>
  <c r="X85" i="92"/>
  <c r="T254" i="91"/>
  <c r="T7" i="92"/>
  <c r="T6" i="92"/>
  <c r="T257" i="91"/>
  <c r="T259" i="91" l="1"/>
  <c r="T266" i="91"/>
  <c r="T271" i="91"/>
  <c r="T269" i="91"/>
  <c r="T272" i="91" l="1"/>
  <c r="T11" i="92" l="1"/>
  <c r="M65" i="92" l="1"/>
  <c r="U65" i="92" s="1"/>
  <c r="U66" i="92" s="1"/>
  <c r="M83" i="92"/>
  <c r="M48" i="92"/>
  <c r="U48" i="92" s="1"/>
  <c r="U50" i="92" s="1"/>
  <c r="M38" i="92"/>
  <c r="U38" i="92" s="1"/>
  <c r="U40" i="92" s="1"/>
  <c r="U41" i="92" s="1"/>
  <c r="M45" i="92"/>
  <c r="U45" i="92" s="1"/>
  <c r="U46" i="92" s="1"/>
  <c r="M58" i="92"/>
  <c r="M60" i="92" s="1"/>
  <c r="M61" i="92" s="1"/>
  <c r="M68" i="92"/>
  <c r="U68" i="92" s="1"/>
  <c r="U70" i="92" s="1"/>
  <c r="K48" i="92"/>
  <c r="K50" i="92" s="1"/>
  <c r="K83" i="92"/>
  <c r="S83" i="92" s="1"/>
  <c r="S85" i="92" s="1"/>
  <c r="S86" i="92" s="1"/>
  <c r="T86" i="92" s="1"/>
  <c r="I22" i="91"/>
  <c r="N22" i="91" s="1"/>
  <c r="K45" i="92"/>
  <c r="K46" i="92" s="1"/>
  <c r="K38" i="92"/>
  <c r="K40" i="92" s="1"/>
  <c r="K68" i="92"/>
  <c r="K58" i="92"/>
  <c r="K65" i="92"/>
  <c r="M50" i="92"/>
  <c r="U83" i="92"/>
  <c r="U85" i="92" s="1"/>
  <c r="U86" i="92" s="1"/>
  <c r="V86" i="92" s="1"/>
  <c r="M85" i="92"/>
  <c r="M86" i="92" s="1"/>
  <c r="M40" i="92" l="1"/>
  <c r="M41" i="92" s="1"/>
  <c r="U58" i="92"/>
  <c r="U60" i="92" s="1"/>
  <c r="U61" i="92" s="1"/>
  <c r="S48" i="92"/>
  <c r="S50" i="92" s="1"/>
  <c r="O65" i="92"/>
  <c r="M70" i="92"/>
  <c r="M75" i="92"/>
  <c r="U75" i="92" s="1"/>
  <c r="V75" i="92" s="1"/>
  <c r="U51" i="92"/>
  <c r="K75" i="92"/>
  <c r="O75" i="92" s="1"/>
  <c r="W75" i="92" s="1"/>
  <c r="X75" i="92" s="1"/>
  <c r="M66" i="92"/>
  <c r="M46" i="92"/>
  <c r="M51" i="92" s="1"/>
  <c r="O68" i="92"/>
  <c r="W68" i="92" s="1"/>
  <c r="W70" i="92" s="1"/>
  <c r="O48" i="92"/>
  <c r="W48" i="92" s="1"/>
  <c r="N24" i="91"/>
  <c r="L226" i="91"/>
  <c r="M226" i="91" s="1"/>
  <c r="O226" i="91" s="1"/>
  <c r="L8" i="92"/>
  <c r="K70" i="92"/>
  <c r="S68" i="92"/>
  <c r="S70" i="92" s="1"/>
  <c r="S38" i="92"/>
  <c r="S40" i="92" s="1"/>
  <c r="S41" i="92" s="1"/>
  <c r="O38" i="92"/>
  <c r="W38" i="92" s="1"/>
  <c r="W40" i="92" s="1"/>
  <c r="W41" i="92" s="1"/>
  <c r="S45" i="92"/>
  <c r="S46" i="92" s="1"/>
  <c r="S51" i="92" s="1"/>
  <c r="O45" i="92"/>
  <c r="W45" i="92" s="1"/>
  <c r="W46" i="92" s="1"/>
  <c r="K85" i="92"/>
  <c r="K86" i="92" s="1"/>
  <c r="O83" i="92"/>
  <c r="W83" i="92" s="1"/>
  <c r="W85" i="92" s="1"/>
  <c r="W86" i="92" s="1"/>
  <c r="X86" i="92" s="1"/>
  <c r="L244" i="91"/>
  <c r="M244" i="91" s="1"/>
  <c r="O244" i="91" s="1"/>
  <c r="L7" i="92"/>
  <c r="C184" i="91"/>
  <c r="E178" i="91" s="1"/>
  <c r="F178" i="91" s="1"/>
  <c r="O178" i="91" s="1"/>
  <c r="T178" i="91" s="1"/>
  <c r="X178" i="91" s="1"/>
  <c r="L245" i="91"/>
  <c r="M245" i="91" s="1"/>
  <c r="O245" i="91" s="1"/>
  <c r="P245" i="91" s="1"/>
  <c r="L197" i="91"/>
  <c r="M197" i="91" s="1"/>
  <c r="O197" i="91" s="1"/>
  <c r="L235" i="91"/>
  <c r="M235" i="91" s="1"/>
  <c r="U235" i="91" s="1"/>
  <c r="L247" i="91"/>
  <c r="M247" i="91" s="1"/>
  <c r="U247" i="91" s="1"/>
  <c r="W247" i="91" s="1"/>
  <c r="X247" i="91" s="1"/>
  <c r="L202" i="91"/>
  <c r="M202" i="91" s="1"/>
  <c r="U202" i="91" s="1"/>
  <c r="W202" i="91" s="1"/>
  <c r="X202" i="91" s="1"/>
  <c r="L280" i="91"/>
  <c r="M280" i="91" s="1"/>
  <c r="O280" i="91" s="1"/>
  <c r="P280" i="91" s="1"/>
  <c r="L281" i="91"/>
  <c r="L6" i="92"/>
  <c r="L229" i="91"/>
  <c r="M229" i="91" s="1"/>
  <c r="U229" i="91" s="1"/>
  <c r="W229" i="91" s="1"/>
  <c r="X229" i="91" s="1"/>
  <c r="L200" i="91"/>
  <c r="M200" i="91" s="1"/>
  <c r="U200" i="91" s="1"/>
  <c r="W200" i="91" s="1"/>
  <c r="X200" i="91" s="1"/>
  <c r="L237" i="91"/>
  <c r="M237" i="91" s="1"/>
  <c r="O237" i="91" s="1"/>
  <c r="P237" i="91" s="1"/>
  <c r="L238" i="91"/>
  <c r="M238" i="91" s="1"/>
  <c r="K60" i="92"/>
  <c r="K61" i="92" s="1"/>
  <c r="L228" i="91"/>
  <c r="M228" i="91" s="1"/>
  <c r="O228" i="91" s="1"/>
  <c r="P228" i="91" s="1"/>
  <c r="L199" i="91"/>
  <c r="M199" i="91" s="1"/>
  <c r="M8" i="92" s="1"/>
  <c r="O58" i="92"/>
  <c r="W58" i="92" s="1"/>
  <c r="W60" i="92" s="1"/>
  <c r="W61" i="92" s="1"/>
  <c r="L198" i="91"/>
  <c r="M198" i="91" s="1"/>
  <c r="L282" i="91"/>
  <c r="L288" i="91" s="1"/>
  <c r="L289" i="91" s="1"/>
  <c r="S58" i="92"/>
  <c r="S60" i="92" s="1"/>
  <c r="S61" i="92" s="1"/>
  <c r="S65" i="92"/>
  <c r="S66" i="92" s="1"/>
  <c r="L236" i="91"/>
  <c r="M236" i="91" s="1"/>
  <c r="U236" i="91" s="1"/>
  <c r="W236" i="91" s="1"/>
  <c r="X236" i="91" s="1"/>
  <c r="K66" i="92"/>
  <c r="K71" i="92" s="1"/>
  <c r="L9" i="92"/>
  <c r="L201" i="91"/>
  <c r="M201" i="91" s="1"/>
  <c r="O201" i="91" s="1"/>
  <c r="P201" i="91" s="1"/>
  <c r="L246" i="91"/>
  <c r="M246" i="91" s="1"/>
  <c r="U246" i="91" s="1"/>
  <c r="W246" i="91" s="1"/>
  <c r="X246" i="91" s="1"/>
  <c r="L227" i="91"/>
  <c r="M227" i="91" s="1"/>
  <c r="O227" i="91" s="1"/>
  <c r="P227" i="91" s="1"/>
  <c r="L279" i="91"/>
  <c r="M279" i="91" s="1"/>
  <c r="M281" i="91" s="1"/>
  <c r="O281" i="91" s="1"/>
  <c r="P281" i="91" s="1"/>
  <c r="M76" i="92"/>
  <c r="N76" i="92" s="1"/>
  <c r="U76" i="92"/>
  <c r="V76" i="92" s="1"/>
  <c r="U71" i="92"/>
  <c r="K51" i="92"/>
  <c r="M71" i="92"/>
  <c r="W65" i="92"/>
  <c r="W66" i="92" s="1"/>
  <c r="O66" i="92"/>
  <c r="O50" i="92"/>
  <c r="O40" i="92"/>
  <c r="O41" i="92" s="1"/>
  <c r="K41" i="92"/>
  <c r="S75" i="92" l="1"/>
  <c r="T75" i="92" s="1"/>
  <c r="O70" i="92"/>
  <c r="U226" i="91"/>
  <c r="M254" i="91"/>
  <c r="U254" i="91" s="1"/>
  <c r="W254" i="91" s="1"/>
  <c r="X254" i="91" s="1"/>
  <c r="W76" i="92"/>
  <c r="X76" i="92" s="1"/>
  <c r="O21" i="91"/>
  <c r="O24" i="91"/>
  <c r="O22" i="91"/>
  <c r="U201" i="91"/>
  <c r="W201" i="91" s="1"/>
  <c r="X201" i="91" s="1"/>
  <c r="E179" i="91"/>
  <c r="F179" i="91" s="1"/>
  <c r="O179" i="91" s="1"/>
  <c r="T179" i="91" s="1"/>
  <c r="X179" i="91" s="1"/>
  <c r="E174" i="91"/>
  <c r="E172" i="91" s="1"/>
  <c r="E181" i="91"/>
  <c r="F181" i="91" s="1"/>
  <c r="O46" i="92"/>
  <c r="O51" i="92" s="1"/>
  <c r="O85" i="92"/>
  <c r="O86" i="92" s="1"/>
  <c r="E183" i="91"/>
  <c r="F183" i="91" s="1"/>
  <c r="O183" i="91" s="1"/>
  <c r="T183" i="91" s="1"/>
  <c r="X183" i="91" s="1"/>
  <c r="S76" i="92"/>
  <c r="T76" i="92" s="1"/>
  <c r="M7" i="92"/>
  <c r="O7" i="92" s="1"/>
  <c r="P7" i="92" s="1"/>
  <c r="O199" i="91"/>
  <c r="P199" i="91" s="1"/>
  <c r="U198" i="91"/>
  <c r="W198" i="91" s="1"/>
  <c r="X198" i="91" s="1"/>
  <c r="U199" i="91"/>
  <c r="T199" i="91" s="1"/>
  <c r="U245" i="91"/>
  <c r="W245" i="91" s="1"/>
  <c r="X245" i="91" s="1"/>
  <c r="U244" i="91"/>
  <c r="W244" i="91" s="1"/>
  <c r="E175" i="91"/>
  <c r="F175" i="91" s="1"/>
  <c r="O175" i="91" s="1"/>
  <c r="T175" i="91" s="1"/>
  <c r="X175" i="91" s="1"/>
  <c r="O198" i="91"/>
  <c r="P198" i="91" s="1"/>
  <c r="O60" i="92"/>
  <c r="O61" i="92" s="1"/>
  <c r="O76" i="92" s="1"/>
  <c r="P76" i="92" s="1"/>
  <c r="E182" i="91"/>
  <c r="F182" i="91" s="1"/>
  <c r="O182" i="91" s="1"/>
  <c r="T182" i="91" s="1"/>
  <c r="X182" i="91" s="1"/>
  <c r="U228" i="91"/>
  <c r="W228" i="91" s="1"/>
  <c r="X228" i="91" s="1"/>
  <c r="E177" i="91"/>
  <c r="O235" i="91"/>
  <c r="P235" i="91" s="1"/>
  <c r="O279" i="91"/>
  <c r="P279" i="91" s="1"/>
  <c r="S71" i="92"/>
  <c r="U197" i="91"/>
  <c r="W197" i="91" s="1"/>
  <c r="O202" i="91"/>
  <c r="P202" i="91" s="1"/>
  <c r="M253" i="91"/>
  <c r="L253" i="91" s="1"/>
  <c r="M9" i="92"/>
  <c r="U9" i="92" s="1"/>
  <c r="W9" i="92" s="1"/>
  <c r="X9" i="92" s="1"/>
  <c r="M258" i="91"/>
  <c r="U258" i="91" s="1"/>
  <c r="W258" i="91" s="1"/>
  <c r="X258" i="91" s="1"/>
  <c r="M257" i="91"/>
  <c r="O257" i="91" s="1"/>
  <c r="P257" i="91" s="1"/>
  <c r="O236" i="91"/>
  <c r="P236" i="91" s="1"/>
  <c r="M203" i="91"/>
  <c r="L203" i="91" s="1"/>
  <c r="M288" i="91"/>
  <c r="M6" i="92"/>
  <c r="N288" i="91"/>
  <c r="O288" i="91" s="1"/>
  <c r="U227" i="91"/>
  <c r="W227" i="91" s="1"/>
  <c r="X227" i="91" s="1"/>
  <c r="M255" i="91"/>
  <c r="L255" i="91" s="1"/>
  <c r="U237" i="91"/>
  <c r="M239" i="91"/>
  <c r="M270" i="91" s="1"/>
  <c r="O247" i="91"/>
  <c r="P247" i="91" s="1"/>
  <c r="O229" i="91"/>
  <c r="P229" i="91" s="1"/>
  <c r="O200" i="91"/>
  <c r="P200" i="91" s="1"/>
  <c r="M256" i="91"/>
  <c r="O238" i="91"/>
  <c r="P238" i="91" s="1"/>
  <c r="U238" i="91"/>
  <c r="W238" i="91" s="1"/>
  <c r="X238" i="91" s="1"/>
  <c r="K76" i="92"/>
  <c r="L76" i="92" s="1"/>
  <c r="O246" i="91"/>
  <c r="P246" i="91" s="1"/>
  <c r="M248" i="91"/>
  <c r="L248" i="91" s="1"/>
  <c r="I38" i="91"/>
  <c r="J45" i="91" s="1"/>
  <c r="I23" i="91"/>
  <c r="I24" i="91" s="1"/>
  <c r="J22" i="91" s="1"/>
  <c r="M230" i="91"/>
  <c r="L230" i="91" s="1"/>
  <c r="T238" i="91"/>
  <c r="P244" i="91"/>
  <c r="U230" i="91"/>
  <c r="T230" i="91" s="1"/>
  <c r="W226" i="91"/>
  <c r="F174" i="91"/>
  <c r="P197" i="91"/>
  <c r="L254" i="91"/>
  <c r="W235" i="91"/>
  <c r="P226" i="91"/>
  <c r="N289" i="91"/>
  <c r="O289" i="91" s="1"/>
  <c r="M289" i="91"/>
  <c r="O71" i="92"/>
  <c r="O8" i="92"/>
  <c r="P8" i="92" s="1"/>
  <c r="U8" i="92"/>
  <c r="X48" i="92"/>
  <c r="X50" i="92" s="1"/>
  <c r="X51" i="92" s="1"/>
  <c r="W50" i="92"/>
  <c r="W51" i="92" s="1"/>
  <c r="W71" i="92"/>
  <c r="O254" i="91" l="1"/>
  <c r="P254" i="91" s="1"/>
  <c r="O256" i="91"/>
  <c r="P256" i="91" s="1"/>
  <c r="L256" i="91"/>
  <c r="W237" i="91"/>
  <c r="X237" i="91" s="1"/>
  <c r="T237" i="91"/>
  <c r="P239" i="91"/>
  <c r="L239" i="91"/>
  <c r="L257" i="91"/>
  <c r="K24" i="91"/>
  <c r="E176" i="91"/>
  <c r="J40" i="91"/>
  <c r="J46" i="91"/>
  <c r="E180" i="91"/>
  <c r="E184" i="91" s="1"/>
  <c r="E189" i="91" s="1"/>
  <c r="E190" i="91" s="1"/>
  <c r="J41" i="91"/>
  <c r="P288" i="91"/>
  <c r="J24" i="91"/>
  <c r="M10" i="92"/>
  <c r="L10" i="92" s="1"/>
  <c r="U7" i="92"/>
  <c r="W7" i="92" s="1"/>
  <c r="X7" i="92" s="1"/>
  <c r="U248" i="91"/>
  <c r="T248" i="91" s="1"/>
  <c r="O6" i="92"/>
  <c r="O203" i="91"/>
  <c r="W199" i="91"/>
  <c r="X199" i="91" s="1"/>
  <c r="P203" i="91"/>
  <c r="U203" i="91"/>
  <c r="T203" i="91" s="1"/>
  <c r="O290" i="91"/>
  <c r="F177" i="91"/>
  <c r="F176" i="91" s="1"/>
  <c r="M266" i="91"/>
  <c r="L266" i="91" s="1"/>
  <c r="T245" i="91"/>
  <c r="O239" i="91"/>
  <c r="J42" i="91"/>
  <c r="I43" i="91"/>
  <c r="J43" i="91" s="1"/>
  <c r="O255" i="91"/>
  <c r="P255" i="91" s="1"/>
  <c r="U255" i="91"/>
  <c r="W255" i="91" s="1"/>
  <c r="X255" i="91" s="1"/>
  <c r="J23" i="91"/>
  <c r="O253" i="91"/>
  <c r="P253" i="91" s="1"/>
  <c r="J38" i="91"/>
  <c r="U6" i="92"/>
  <c r="W6" i="92" s="1"/>
  <c r="O248" i="91"/>
  <c r="N23" i="91"/>
  <c r="O23" i="91" s="1"/>
  <c r="U253" i="91"/>
  <c r="U259" i="91" s="1"/>
  <c r="U261" i="91" s="1"/>
  <c r="T261" i="91" s="1"/>
  <c r="J44" i="91"/>
  <c r="O9" i="92"/>
  <c r="P9" i="92" s="1"/>
  <c r="J39" i="91"/>
  <c r="H49" i="91"/>
  <c r="U257" i="91"/>
  <c r="W257" i="91" s="1"/>
  <c r="X257" i="91" s="1"/>
  <c r="T227" i="91"/>
  <c r="O258" i="91"/>
  <c r="P258" i="91" s="1"/>
  <c r="J21" i="91"/>
  <c r="P24" i="91"/>
  <c r="U256" i="91"/>
  <c r="W256" i="91" s="1"/>
  <c r="X256" i="91" s="1"/>
  <c r="O230" i="91"/>
  <c r="M259" i="91"/>
  <c r="L259" i="91" s="1"/>
  <c r="U239" i="91"/>
  <c r="T239" i="91" s="1"/>
  <c r="P230" i="91"/>
  <c r="P248" i="91"/>
  <c r="M269" i="91"/>
  <c r="O269" i="91" s="1"/>
  <c r="M271" i="91"/>
  <c r="U271" i="91" s="1"/>
  <c r="W271" i="91" s="1"/>
  <c r="O181" i="91"/>
  <c r="F180" i="91"/>
  <c r="L270" i="91"/>
  <c r="U270" i="91"/>
  <c r="O270" i="91"/>
  <c r="X244" i="91"/>
  <c r="X248" i="91" s="1"/>
  <c r="W248" i="91"/>
  <c r="O174" i="91"/>
  <c r="F172" i="91"/>
  <c r="W239" i="91"/>
  <c r="X235" i="91"/>
  <c r="X239" i="91" s="1"/>
  <c r="X226" i="91"/>
  <c r="X230" i="91" s="1"/>
  <c r="W230" i="91"/>
  <c r="X197" i="91"/>
  <c r="X203" i="91" s="1"/>
  <c r="W203" i="91"/>
  <c r="P289" i="91"/>
  <c r="M290" i="91"/>
  <c r="W8" i="92"/>
  <c r="X8" i="92" s="1"/>
  <c r="T8" i="92"/>
  <c r="O10" i="92" l="1"/>
  <c r="P259" i="91"/>
  <c r="P261" i="91" s="1"/>
  <c r="P290" i="91"/>
  <c r="I47" i="91"/>
  <c r="J47" i="91" s="1"/>
  <c r="O259" i="91"/>
  <c r="O261" i="91" s="1"/>
  <c r="U266" i="91"/>
  <c r="W266" i="91" s="1"/>
  <c r="M272" i="91"/>
  <c r="L272" i="91" s="1"/>
  <c r="O266" i="91"/>
  <c r="I65" i="91" s="1"/>
  <c r="P6" i="92"/>
  <c r="P10" i="92" s="1"/>
  <c r="O271" i="91"/>
  <c r="P271" i="91" s="1"/>
  <c r="T255" i="91"/>
  <c r="O177" i="91"/>
  <c r="O176" i="91" s="1"/>
  <c r="W253" i="91"/>
  <c r="W259" i="91" s="1"/>
  <c r="W261" i="91" s="1"/>
  <c r="U10" i="92"/>
  <c r="T10" i="92" s="1"/>
  <c r="M261" i="91"/>
  <c r="L261" i="91" s="1"/>
  <c r="L269" i="91"/>
  <c r="U269" i="91"/>
  <c r="W269" i="91" s="1"/>
  <c r="X269" i="91" s="1"/>
  <c r="L271" i="91"/>
  <c r="I69" i="91"/>
  <c r="P270" i="91"/>
  <c r="W10" i="92"/>
  <c r="X6" i="92"/>
  <c r="X10" i="92" s="1"/>
  <c r="T181" i="91"/>
  <c r="O180" i="91"/>
  <c r="F184" i="91"/>
  <c r="F189" i="91" s="1"/>
  <c r="F190" i="91" s="1"/>
  <c r="N290" i="91"/>
  <c r="L290" i="91"/>
  <c r="W270" i="91"/>
  <c r="T270" i="91"/>
  <c r="P269" i="91"/>
  <c r="I68" i="91"/>
  <c r="T174" i="91"/>
  <c r="O172" i="91"/>
  <c r="X271" i="91"/>
  <c r="N70" i="91"/>
  <c r="U272" i="91" l="1"/>
  <c r="U274" i="91" s="1"/>
  <c r="T274" i="91" s="1"/>
  <c r="P266" i="91"/>
  <c r="P272" i="91" s="1"/>
  <c r="P274" i="91" s="1"/>
  <c r="T177" i="91"/>
  <c r="O272" i="91"/>
  <c r="O274" i="91" s="1"/>
  <c r="I70" i="91"/>
  <c r="I71" i="91" s="1"/>
  <c r="M274" i="91"/>
  <c r="L274" i="91" s="1"/>
  <c r="X253" i="91"/>
  <c r="X259" i="91" s="1"/>
  <c r="X261" i="91" s="1"/>
  <c r="M11" i="92"/>
  <c r="U11" i="92" s="1"/>
  <c r="N68" i="91"/>
  <c r="O184" i="91"/>
  <c r="O189" i="91" s="1"/>
  <c r="O190" i="91" s="1"/>
  <c r="T172" i="91"/>
  <c r="X174" i="91"/>
  <c r="X172" i="91" s="1"/>
  <c r="T176" i="91"/>
  <c r="X177" i="91"/>
  <c r="X176" i="91" s="1"/>
  <c r="X181" i="91"/>
  <c r="X180" i="91" s="1"/>
  <c r="T180" i="91"/>
  <c r="N69" i="91"/>
  <c r="X270" i="91"/>
  <c r="X266" i="91"/>
  <c r="X272" i="91" s="1"/>
  <c r="X274" i="91" s="1"/>
  <c r="N65" i="91"/>
  <c r="W272" i="91"/>
  <c r="W274" i="91" s="1"/>
  <c r="J69" i="91" l="1"/>
  <c r="J65" i="91"/>
  <c r="J66" i="91"/>
  <c r="J67" i="91"/>
  <c r="J68" i="91"/>
  <c r="J70" i="91"/>
  <c r="M282" i="91"/>
  <c r="O282" i="91" s="1"/>
  <c r="M12" i="92"/>
  <c r="O11" i="92"/>
  <c r="L11" i="92"/>
  <c r="T184" i="91"/>
  <c r="T189" i="91" s="1"/>
  <c r="T190" i="91" s="1"/>
  <c r="N71" i="91"/>
  <c r="P11" i="92"/>
  <c r="O12" i="92"/>
  <c r="X184" i="91"/>
  <c r="X189" i="91" s="1"/>
  <c r="X190" i="91" s="1"/>
  <c r="W11" i="92"/>
  <c r="U12" i="92"/>
  <c r="J71" i="91" l="1"/>
  <c r="M283" i="91"/>
  <c r="L283" i="91" s="1"/>
  <c r="W12" i="92"/>
  <c r="X11" i="92"/>
  <c r="P282" i="91"/>
  <c r="P283" i="91" s="1"/>
  <c r="O283" i="91"/>
  <c r="O70" i="91"/>
  <c r="O67" i="91"/>
  <c r="O66" i="91"/>
  <c r="O68" i="91"/>
  <c r="O65" i="91"/>
  <c r="O71" i="91" s="1"/>
  <c r="O69" i="91"/>
  <c r="E9" i="100" l="1"/>
  <c r="H9" i="100"/>
  <c r="G9" i="100"/>
  <c r="E16" i="100" l="1"/>
</calcChain>
</file>

<file path=xl/sharedStrings.xml><?xml version="1.0" encoding="utf-8"?>
<sst xmlns="http://schemas.openxmlformats.org/spreadsheetml/2006/main" count="1723" uniqueCount="471">
  <si>
    <t>Ʃ</t>
  </si>
  <si>
    <t>compte</t>
  </si>
  <si>
    <t>libellé</t>
  </si>
  <si>
    <t>journal</t>
  </si>
  <si>
    <t>débit</t>
  </si>
  <si>
    <t>crédit</t>
  </si>
  <si>
    <t>solde</t>
  </si>
  <si>
    <t>F3E</t>
  </si>
  <si>
    <t>Etudes</t>
  </si>
  <si>
    <t>RF</t>
  </si>
  <si>
    <t>consultance</t>
  </si>
  <si>
    <t>%</t>
  </si>
  <si>
    <t>AFD</t>
  </si>
  <si>
    <t>Ressources</t>
  </si>
  <si>
    <t>Formations</t>
  </si>
  <si>
    <t>Subventions AFD</t>
  </si>
  <si>
    <t>E</t>
  </si>
  <si>
    <t>date</t>
  </si>
  <si>
    <t>pièce</t>
  </si>
  <si>
    <t>devise</t>
  </si>
  <si>
    <t>D</t>
  </si>
  <si>
    <t>BALANCE GENERALE</t>
  </si>
  <si>
    <t>Compte</t>
  </si>
  <si>
    <t>Libellé</t>
  </si>
  <si>
    <t>Débit</t>
  </si>
  <si>
    <t>Crédit</t>
  </si>
  <si>
    <t>Solde Débit</t>
  </si>
  <si>
    <t>Solde Crédit</t>
  </si>
  <si>
    <t>TOTAL BALANCE</t>
  </si>
  <si>
    <t>A1</t>
  </si>
  <si>
    <t>A2</t>
  </si>
  <si>
    <t>A3</t>
  </si>
  <si>
    <t>A4</t>
  </si>
  <si>
    <t>A5</t>
  </si>
  <si>
    <t>A6</t>
  </si>
  <si>
    <t>A7</t>
  </si>
  <si>
    <t>Valorisations</t>
  </si>
  <si>
    <t>A</t>
  </si>
  <si>
    <t>B</t>
  </si>
  <si>
    <t>montant</t>
  </si>
  <si>
    <t>D1</t>
  </si>
  <si>
    <t>D2</t>
  </si>
  <si>
    <t>to do list</t>
  </si>
  <si>
    <t>études</t>
  </si>
  <si>
    <t>formations</t>
  </si>
  <si>
    <t>fisong</t>
  </si>
  <si>
    <t>i</t>
  </si>
  <si>
    <t>OS1-R3</t>
  </si>
  <si>
    <t>B1</t>
  </si>
  <si>
    <t>B2</t>
  </si>
  <si>
    <t>valorisations</t>
  </si>
  <si>
    <t>calcul</t>
  </si>
  <si>
    <t>fonds de péréquation</t>
  </si>
  <si>
    <t>MS</t>
  </si>
  <si>
    <t>salariés</t>
  </si>
  <si>
    <t>autres produits</t>
  </si>
  <si>
    <t>taux AFD</t>
  </si>
  <si>
    <t>fonds de roulement</t>
  </si>
  <si>
    <t>trésorerie nette</t>
  </si>
  <si>
    <t>SI fonds de péréquation</t>
  </si>
  <si>
    <t>SF fonds de péréquation</t>
  </si>
  <si>
    <t>résultat net</t>
  </si>
  <si>
    <t>OSC</t>
  </si>
  <si>
    <t>ACS</t>
  </si>
  <si>
    <t>total des produits</t>
  </si>
  <si>
    <t>-</t>
  </si>
  <si>
    <t>Cotisations</t>
  </si>
  <si>
    <t>total des ressources</t>
  </si>
  <si>
    <t xml:space="preserve">total des ressources </t>
  </si>
  <si>
    <t>levier sur subventions</t>
  </si>
  <si>
    <t>Gestion</t>
  </si>
  <si>
    <t>charges variables</t>
  </si>
  <si>
    <t>coûts externes activités</t>
  </si>
  <si>
    <t>coûts externes études</t>
  </si>
  <si>
    <t>coûts internes salariés</t>
  </si>
  <si>
    <t>coûts internes structure</t>
  </si>
  <si>
    <t>charges fixes</t>
  </si>
  <si>
    <t>contributions volontaires</t>
  </si>
  <si>
    <t>ressources</t>
  </si>
  <si>
    <t>autres ressources</t>
  </si>
  <si>
    <t>cotisations</t>
  </si>
  <si>
    <t>cotisations membres</t>
  </si>
  <si>
    <t>valorisations membres</t>
  </si>
  <si>
    <t>subventions AFD</t>
  </si>
  <si>
    <t>POSC - OS1</t>
  </si>
  <si>
    <t>POSC - OS1 - R1</t>
  </si>
  <si>
    <t>POSC - OS1 - R1 - A1</t>
  </si>
  <si>
    <t>POSC - OS1 - R1 - A2</t>
  </si>
  <si>
    <t>POSC - OS1 - R1 - A3</t>
  </si>
  <si>
    <t>POSC - OS1 - R2</t>
  </si>
  <si>
    <t>POSC - OS1 - R2 - A1</t>
  </si>
  <si>
    <t>POSC - OS1 - R2 - A2</t>
  </si>
  <si>
    <t>POSC - OS1 - R2 - A3</t>
  </si>
  <si>
    <t>POSC - OS2</t>
  </si>
  <si>
    <t>POSC - OS2 - R1</t>
  </si>
  <si>
    <t>POSC - OS2 - R1 - A1</t>
  </si>
  <si>
    <t>POSC - OS2 - R1 - A2</t>
  </si>
  <si>
    <t>POSC - OS2 - R1 - A3</t>
  </si>
  <si>
    <t>POSC - OS2 - R1 - A4</t>
  </si>
  <si>
    <t>PS - OS2 - R2</t>
  </si>
  <si>
    <t>POSC - OS2 - R2 - A1</t>
  </si>
  <si>
    <t>POSC - OS2 - R2 - A2</t>
  </si>
  <si>
    <t>POSC - OS2 - R2 - A3</t>
  </si>
  <si>
    <t>POSC - OS2 - R2 - A4</t>
  </si>
  <si>
    <t>POSC - OS3</t>
  </si>
  <si>
    <t>POSC - OS3 - R1</t>
  </si>
  <si>
    <t>POSC - OS3 - R1 - A1</t>
  </si>
  <si>
    <t>POSC - OS3 - R1 - A2</t>
  </si>
  <si>
    <t>POSC - OS3 - R1 - A3</t>
  </si>
  <si>
    <t>POSC - OS3 - R2</t>
  </si>
  <si>
    <t>POSC - OS3 - R2 - A2</t>
  </si>
  <si>
    <t>POSC - OS3 - R2 - A3</t>
  </si>
  <si>
    <t>POSC - OS3 - R2 - A4</t>
  </si>
  <si>
    <t>POSC - OS3 - R3</t>
  </si>
  <si>
    <t>POSC - OS3 - R3 - A1</t>
  </si>
  <si>
    <t xml:space="preserve">POSC - OS3 - R3 - A2 </t>
  </si>
  <si>
    <t>POSC - OS3 - R3 - A3</t>
  </si>
  <si>
    <t xml:space="preserve">Ʃ POSC </t>
  </si>
  <si>
    <t>POSC - DSE</t>
  </si>
  <si>
    <t>PACS - OS1</t>
  </si>
  <si>
    <t>PACS - OS1 - R1 - A1</t>
  </si>
  <si>
    <t>PACS - OS1 - R2 - A2</t>
  </si>
  <si>
    <t>PACS - OS1 - R3 - A3</t>
  </si>
  <si>
    <t>PACS - OS2</t>
  </si>
  <si>
    <t>PACS - OS2 - R1 - A1</t>
  </si>
  <si>
    <t>PACS - OS2 - R2 - A2</t>
  </si>
  <si>
    <t>PACS - OS2 - R3 - A3</t>
  </si>
  <si>
    <t>PACS - OS3</t>
  </si>
  <si>
    <t>PACS - OS3 - R1</t>
  </si>
  <si>
    <t>PACS - OS3 - R2 - A1</t>
  </si>
  <si>
    <t>PACS - OS3 - R2 - A2</t>
  </si>
  <si>
    <t>Ʃ PACS</t>
  </si>
  <si>
    <t>Ʃ F3E</t>
  </si>
  <si>
    <t>AO</t>
  </si>
  <si>
    <t>POSC</t>
  </si>
  <si>
    <t>PACS</t>
  </si>
  <si>
    <t>CS</t>
  </si>
  <si>
    <t>F3E 2020</t>
  </si>
  <si>
    <t>activité</t>
  </si>
  <si>
    <t>transversal</t>
  </si>
  <si>
    <t>Ʃ MS</t>
  </si>
  <si>
    <t>Ʃ CS</t>
  </si>
  <si>
    <t>structure</t>
  </si>
  <si>
    <t>ETP CDM</t>
  </si>
  <si>
    <t>Ʃ AO</t>
  </si>
  <si>
    <t>activités</t>
  </si>
  <si>
    <t>contributions</t>
  </si>
  <si>
    <t>marge</t>
  </si>
  <si>
    <t>résultat</t>
  </si>
  <si>
    <t>B3</t>
  </si>
  <si>
    <r>
      <t xml:space="preserve">C = A - </t>
    </r>
    <r>
      <rPr>
        <b/>
        <sz val="8"/>
        <color rgb="FFC00000"/>
        <rFont val="Arial Narrow"/>
        <family val="2"/>
      </rPr>
      <t>B</t>
    </r>
  </si>
  <si>
    <r>
      <t xml:space="preserve">E = C - </t>
    </r>
    <r>
      <rPr>
        <b/>
        <sz val="8"/>
        <color rgb="FFC00000"/>
        <rFont val="Arial Narrow"/>
        <family val="2"/>
      </rPr>
      <t>D</t>
    </r>
  </si>
  <si>
    <t>Ʃ B</t>
  </si>
  <si>
    <t>Ʃ D</t>
  </si>
  <si>
    <t>Ʃ A</t>
  </si>
  <si>
    <t>péréquation</t>
  </si>
  <si>
    <t>subventions</t>
  </si>
  <si>
    <t>fondations</t>
  </si>
  <si>
    <t>Ʃ POSC  + DES</t>
  </si>
  <si>
    <t>Ʃ PACS + DES</t>
  </si>
  <si>
    <t>charges</t>
  </si>
  <si>
    <t>% AFD</t>
  </si>
  <si>
    <t>AMI</t>
  </si>
  <si>
    <t xml:space="preserve">total </t>
  </si>
  <si>
    <t>publication AMI</t>
  </si>
  <si>
    <t>note d'intention des membres</t>
  </si>
  <si>
    <t>fréquence d'accompagnement</t>
  </si>
  <si>
    <t>diversification des types d'études</t>
  </si>
  <si>
    <t>typologie financière d'une étude = nombre ; montant moyen ; taux de co-fi</t>
  </si>
  <si>
    <t>poids du budget des études dans le budget total du F3E (périmètre élargie des opérations) &gt; cœur de métier</t>
  </si>
  <si>
    <t>corrélation nouveaux membres en N &gt; études en N+1 / N+2</t>
  </si>
  <si>
    <t>arbitrage et validation CA &amp; CE</t>
  </si>
  <si>
    <t xml:space="preserve"> AFD participe au CE</t>
  </si>
  <si>
    <t xml:space="preserve">proposition du calendrier des CE </t>
  </si>
  <si>
    <t>5 CE / an &amp; 6 dossiers max par CE</t>
  </si>
  <si>
    <t>diffusion de TDR comparables</t>
  </si>
  <si>
    <t>réunion du CE</t>
  </si>
  <si>
    <t>rédaction des TDR et envoi au CE à J-15</t>
  </si>
  <si>
    <t>échange entre pairs pour bonifier les TDR</t>
  </si>
  <si>
    <t>circuit électronique</t>
  </si>
  <si>
    <t>circuit physique : stop ?</t>
  </si>
  <si>
    <t>flux financiers</t>
  </si>
  <si>
    <t>réalisation de l'étude</t>
  </si>
  <si>
    <t>note de cadrage du CLS (méthodologie ; calendrier…)</t>
  </si>
  <si>
    <t>déroulement de l'étude : échanges entre CSL &amp; MBE</t>
  </si>
  <si>
    <t>restitution élargie</t>
  </si>
  <si>
    <t>soit en interne de l'organisation du MBE</t>
  </si>
  <si>
    <t>soit en externe via le réseau du F3E</t>
  </si>
  <si>
    <t>non systématique (fonction de l'intérêt de l'étude ; com pour le MBE et le CSL)</t>
  </si>
  <si>
    <t>entretien de cadrage MBE &amp; CDM &amp; CPR</t>
  </si>
  <si>
    <t>appel à manifestation d'intérêt</t>
  </si>
  <si>
    <t>TDR</t>
  </si>
  <si>
    <t>termes de références</t>
  </si>
  <si>
    <t>CA</t>
  </si>
  <si>
    <t>conseil d'admnistration</t>
  </si>
  <si>
    <t>comité des études</t>
  </si>
  <si>
    <t>CE</t>
  </si>
  <si>
    <t>MBE</t>
  </si>
  <si>
    <t>membres bénéficiaires des études</t>
  </si>
  <si>
    <t>MCE</t>
  </si>
  <si>
    <t>CPR</t>
  </si>
  <si>
    <t>CSL</t>
  </si>
  <si>
    <t>consultants</t>
  </si>
  <si>
    <t>PCE</t>
  </si>
  <si>
    <t>membres du comité des études</t>
  </si>
  <si>
    <t>président du comité des études</t>
  </si>
  <si>
    <t>CDM</t>
  </si>
  <si>
    <t>coordinateur programme</t>
  </si>
  <si>
    <t>consultation PCE &amp; direction F3E</t>
  </si>
  <si>
    <t>contraintes budgétaires internes</t>
  </si>
  <si>
    <t>agence française de développement</t>
  </si>
  <si>
    <t>affectation des études en interne aux CDM</t>
  </si>
  <si>
    <t>info de pré-engagement auprès des MBE</t>
  </si>
  <si>
    <t>accompagnement des MBE</t>
  </si>
  <si>
    <t>chargés de mission</t>
  </si>
  <si>
    <t>instruction et sélection CPR selon critères</t>
  </si>
  <si>
    <t>un MCE nommé référent par étude</t>
  </si>
  <si>
    <t>diffusion de l'avis du CE aux MBE</t>
  </si>
  <si>
    <t>rédaction avis du CE pour finalisation des TDR</t>
  </si>
  <si>
    <t>sélection des CLS</t>
  </si>
  <si>
    <t>postulation des CSL via la production d'un CV</t>
  </si>
  <si>
    <t>information des CSL non retenus</t>
  </si>
  <si>
    <t>AOE</t>
  </si>
  <si>
    <t>AOR</t>
  </si>
  <si>
    <t>appel d'offres restreint</t>
  </si>
  <si>
    <t>appel d'offres élargi</t>
  </si>
  <si>
    <t>AOE via fichier des CLS (TDR synthétiques)</t>
  </si>
  <si>
    <t>validation du cofinancement F3E par les MCE</t>
  </si>
  <si>
    <t>présentation des TDR par le MBE</t>
  </si>
  <si>
    <t>sélection short list de CSL (6 max) avec le MBE</t>
  </si>
  <si>
    <t>AOR short list des CSL ouvert 1 mois (TRD complètes)</t>
  </si>
  <si>
    <t>réception des offres techniques et financières des CLS</t>
  </si>
  <si>
    <t>réunion entre MBE et CDM pour sélection du CSL</t>
  </si>
  <si>
    <t xml:space="preserve">entretien éventuel avec le CSL </t>
  </si>
  <si>
    <t>GAO</t>
  </si>
  <si>
    <t>grille d'analyse des offres</t>
  </si>
  <si>
    <t>finalisation de la GAO d'analyse par le CDM</t>
  </si>
  <si>
    <t>envoi de la GAO aux MCE pour information</t>
  </si>
  <si>
    <t>CTP</t>
  </si>
  <si>
    <t>convention tri partites</t>
  </si>
  <si>
    <t xml:space="preserve">rédaction de la CTP </t>
  </si>
  <si>
    <t>formalisation de la CTP par le CDM</t>
  </si>
  <si>
    <t>relecture et amendement de la CTP par le CPR</t>
  </si>
  <si>
    <t>diffusion de la CTP au MBE &amp; CSL</t>
  </si>
  <si>
    <t>modifications éventuelles par CDM suite retour MBE &amp; CSL</t>
  </si>
  <si>
    <t>circuit de signatures en 3 ex. de la CTP : MBE &gt; CSL &gt; F3E</t>
  </si>
  <si>
    <t>le CDM envoi le MDF au MBE</t>
  </si>
  <si>
    <t>MDF</t>
  </si>
  <si>
    <t>mémoire de frais</t>
  </si>
  <si>
    <t>1 seul MDF même si plusieurs échéances</t>
  </si>
  <si>
    <t>réunion de cadrage entre CDM &amp; MBE &amp; CLS</t>
  </si>
  <si>
    <t>réunion entre CDM &amp; MBE &amp; CLS pour restitution du RP</t>
  </si>
  <si>
    <t>validation à distance du RF par CDM &amp; MBE &amp; CLS</t>
  </si>
  <si>
    <t>RP</t>
  </si>
  <si>
    <t xml:space="preserve">rapport final </t>
  </si>
  <si>
    <t>rapport provisoire</t>
  </si>
  <si>
    <t>encaissement cofi du MBE par le F3E</t>
  </si>
  <si>
    <t>paiement des échances au CLS par leF3E</t>
  </si>
  <si>
    <t>OS1-R1 - OS1-R2</t>
  </si>
  <si>
    <t>OSC - ACS</t>
  </si>
  <si>
    <t>PACS - DSE</t>
  </si>
  <si>
    <t xml:space="preserve">sous-total </t>
  </si>
  <si>
    <t>fonds dédiés</t>
  </si>
  <si>
    <t xml:space="preserve">équation budgétaire = dispositif équilibré économiquement (contributeur activités collectives) et transparent (traçabilité de la gestion des fonds en mandat) </t>
  </si>
  <si>
    <t>budget des études + valo dans l'assiette de dépenses = effet levier sur calcul de la subvention</t>
  </si>
  <si>
    <t>histogramme OS en J et en €</t>
  </si>
  <si>
    <t xml:space="preserve">affiner affectation des ressources externes / OS </t>
  </si>
  <si>
    <t>graphique budgets MSE</t>
  </si>
  <si>
    <t>affiner affectation des OS / budget MSE</t>
  </si>
  <si>
    <t>déconnexion FISONG du PACS + impacts sur budgets MSE</t>
  </si>
  <si>
    <t>note admin-fi analyse MSE des études</t>
  </si>
  <si>
    <t>indicateurs analyse MSE des études</t>
  </si>
  <si>
    <t>contribution adm-fi à l'analyse du MSE des études (1 page / échéance mi-mai)</t>
  </si>
  <si>
    <t>montant moyen</t>
  </si>
  <si>
    <t>nombre d'études</t>
  </si>
  <si>
    <t>Ʃ/2</t>
  </si>
  <si>
    <t>résultat F3E</t>
  </si>
  <si>
    <t>résultat OSI</t>
  </si>
  <si>
    <t>budget péréquation</t>
  </si>
  <si>
    <t>contributions OSI</t>
  </si>
  <si>
    <t>part F3E</t>
  </si>
  <si>
    <t>part OSI</t>
  </si>
  <si>
    <t>nombre</t>
  </si>
  <si>
    <r>
      <rPr>
        <sz val="10"/>
        <rFont val="Calibri"/>
        <family val="2"/>
      </rPr>
      <t>±</t>
    </r>
    <r>
      <rPr>
        <sz val="10"/>
        <rFont val="Arial Narrow"/>
        <family val="2"/>
      </rPr>
      <t xml:space="preserve"> part OSI</t>
    </r>
  </si>
  <si>
    <t>±  subventions AFD</t>
  </si>
  <si>
    <r>
      <rPr>
        <sz val="10"/>
        <color rgb="FFC00000"/>
        <rFont val="Arial Narrow"/>
        <family val="2"/>
      </rPr>
      <t>±</t>
    </r>
    <r>
      <rPr>
        <b/>
        <sz val="10"/>
        <color rgb="FFC00000"/>
        <rFont val="Arial Narrow"/>
        <family val="2"/>
      </rPr>
      <t xml:space="preserve">  résultat</t>
    </r>
  </si>
  <si>
    <t>total F3E</t>
  </si>
  <si>
    <t>ingénierie</t>
  </si>
  <si>
    <t>valorisation</t>
  </si>
  <si>
    <t>% cofi dégressif en fonction budget OSI</t>
  </si>
  <si>
    <t>co-rédaction de la GAO par le MBE et le CDM</t>
  </si>
  <si>
    <t xml:space="preserve"> </t>
  </si>
  <si>
    <t>OS1-R1-A1 / OS1-R1-A2 / OS1-R1-A3 / OS1-R2-A1 / OS1-R2-A2 / OS1-R2-A3</t>
  </si>
  <si>
    <t>OS2-R1-A2 / OS2-R1-A3 / OS2-R1-A4 / OS3-R1-A2</t>
  </si>
  <si>
    <t>OS2-R1-A1 / OS2-R2-A1 / OS2-R2-A2 / OS2-R2-A3 / OS2-R2-A4</t>
  </si>
  <si>
    <t>POSC - OS2 - R2</t>
  </si>
  <si>
    <t>OS3-R1-A1 / OS3-R1-A3 / OS3-R2-A1 / OS3-R2-A2 / OS3-R2-A3 / OS3-R2-A4 / OS3-R3-A1 / OS3-R3-A2 / OS3-R3-A3</t>
  </si>
  <si>
    <t>OS1-R3-A3</t>
  </si>
  <si>
    <t>OS1-R1-A1</t>
  </si>
  <si>
    <t>OS2-R1-A1</t>
  </si>
  <si>
    <t>OS1-R2-A2 / OS2-R2-A2 / OS2-R3-A3</t>
  </si>
  <si>
    <t>PACS - OS3 - R1 - A1</t>
  </si>
  <si>
    <t>OS3-R1-A1 / OS3-R2-A1 / OS3-R2-A2</t>
  </si>
  <si>
    <t>autres</t>
  </si>
  <si>
    <t>réseau</t>
  </si>
  <si>
    <t>veille diffusion</t>
  </si>
  <si>
    <t>&amp; FISONG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</si>
  <si>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 xml:space="preserve"> FISONG</t>
    </r>
  </si>
  <si>
    <t>OS1 / OS2 / OS3</t>
  </si>
  <si>
    <r>
      <t xml:space="preserve">OS1 </t>
    </r>
    <r>
      <rPr>
        <sz val="8"/>
        <color theme="0"/>
        <rFont val="Arial Narrow"/>
        <family val="2"/>
      </rPr>
      <t>Ø</t>
    </r>
    <r>
      <rPr>
        <b/>
        <sz val="8"/>
        <color theme="0"/>
        <rFont val="Arial Narrow"/>
        <family val="2"/>
      </rPr>
      <t xml:space="preserve"> OS1-R1-A1 / OS2 / OS3</t>
    </r>
  </si>
  <si>
    <t>OSC / ACS</t>
  </si>
  <si>
    <t>% COFI</t>
  </si>
  <si>
    <t>directes</t>
  </si>
  <si>
    <t>indirectes</t>
  </si>
  <si>
    <t>charges directes</t>
  </si>
  <si>
    <t>charges indirectes</t>
  </si>
  <si>
    <t>marge sur coûts directs</t>
  </si>
  <si>
    <t>publiques</t>
  </si>
  <si>
    <t>Ʃ A1</t>
  </si>
  <si>
    <t>Ʃ A2 &gt; A6</t>
  </si>
  <si>
    <t>membres</t>
  </si>
  <si>
    <t>privées</t>
  </si>
  <si>
    <t>Ʃ A7</t>
  </si>
  <si>
    <t></t>
  </si>
  <si>
    <t>Finances</t>
  </si>
  <si>
    <t>fonds propres</t>
  </si>
  <si>
    <t>besoin fonds de roulement</t>
  </si>
  <si>
    <r>
      <t xml:space="preserve">% trésorerie nette </t>
    </r>
    <r>
      <rPr>
        <b/>
        <i/>
        <sz val="8"/>
        <rFont val="Arial Narrow"/>
        <family val="2"/>
      </rPr>
      <t>LT</t>
    </r>
    <r>
      <rPr>
        <i/>
        <sz val="8"/>
        <rFont val="Arial Narrow"/>
        <family val="2"/>
      </rPr>
      <t xml:space="preserve"> - </t>
    </r>
    <r>
      <rPr>
        <b/>
        <i/>
        <sz val="8"/>
        <color rgb="FF008000"/>
        <rFont val="Arial Narrow"/>
        <family val="2"/>
      </rPr>
      <t>FR</t>
    </r>
  </si>
  <si>
    <r>
      <t xml:space="preserve">% trésorerie nette </t>
    </r>
    <r>
      <rPr>
        <b/>
        <i/>
        <sz val="8"/>
        <rFont val="Arial Narrow"/>
        <family val="2"/>
      </rPr>
      <t>CT</t>
    </r>
    <r>
      <rPr>
        <i/>
        <sz val="8"/>
        <rFont val="Arial Narrow"/>
        <family val="2"/>
      </rPr>
      <t xml:space="preserve"> - </t>
    </r>
    <r>
      <rPr>
        <b/>
        <i/>
        <sz val="8"/>
        <color rgb="FFC00000"/>
        <rFont val="Arial Narrow"/>
        <family val="2"/>
      </rPr>
      <t>BFR</t>
    </r>
  </si>
  <si>
    <t>délais créances exploitation</t>
  </si>
  <si>
    <t>délais créances études</t>
  </si>
  <si>
    <t>délais dettes exploitation</t>
  </si>
  <si>
    <t>délais dettes études</t>
  </si>
  <si>
    <t>délais créances</t>
  </si>
  <si>
    <t>délais dettes</t>
  </si>
  <si>
    <t>Activités</t>
  </si>
  <si>
    <t>expérimentation</t>
  </si>
  <si>
    <t>programme socle</t>
  </si>
  <si>
    <t>programme expérimental</t>
  </si>
  <si>
    <r>
      <rPr>
        <b/>
        <sz val="11"/>
        <color theme="1"/>
        <rFont val="Calibri"/>
        <family val="2"/>
      </rPr>
      <t>Ʃ</t>
    </r>
    <r>
      <rPr>
        <b/>
        <sz val="10"/>
        <color theme="1"/>
        <rFont val="Arial Narrow"/>
        <family val="2"/>
      </rPr>
      <t xml:space="preserve"> subvention AFD</t>
    </r>
  </si>
  <si>
    <t>+ entrées</t>
  </si>
  <si>
    <t>- sorties</t>
  </si>
  <si>
    <t>SI fonds dédiés</t>
  </si>
  <si>
    <t>SF fonds dédiés</t>
  </si>
  <si>
    <t>délais BFR</t>
  </si>
  <si>
    <t>C = A x B</t>
  </si>
  <si>
    <t>E = C + D</t>
  </si>
  <si>
    <t>F = E - A</t>
  </si>
  <si>
    <t>Fisong</t>
  </si>
  <si>
    <t>Réseau</t>
  </si>
  <si>
    <t>Expérimental</t>
  </si>
  <si>
    <t>Conso</t>
  </si>
  <si>
    <t>taux de cofinancement</t>
  </si>
  <si>
    <t>taux de cofinancement retraité</t>
  </si>
  <si>
    <t>budget consultance</t>
  </si>
  <si>
    <t>budget consultance retraité</t>
  </si>
  <si>
    <t>budget valorisation</t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</si>
  <si>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1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</si>
  <si>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2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</si>
  <si>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3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</si>
  <si>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4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</si>
  <si>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5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</si>
  <si>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6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</si>
  <si>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</t>
    </r>
    <r>
      <rPr>
        <b/>
        <sz val="10"/>
        <color theme="5"/>
        <rFont val="Calibri"/>
        <family val="2"/>
      </rPr>
      <t>∑</t>
    </r>
  </si>
  <si>
    <t>expérimental</t>
  </si>
  <si>
    <r>
      <t xml:space="preserve">MSE </t>
    </r>
    <r>
      <rPr>
        <b/>
        <sz val="10"/>
        <color theme="0"/>
        <rFont val="Wingdings 3"/>
        <family val="1"/>
        <charset val="2"/>
      </rPr>
      <t>}</t>
    </r>
    <r>
      <rPr>
        <b/>
        <sz val="10"/>
        <color theme="0"/>
        <rFont val="Arial Narrow"/>
        <family val="2"/>
      </rPr>
      <t xml:space="preserve"> études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</si>
  <si>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A</t>
    </r>
  </si>
  <si>
    <r>
      <t xml:space="preserve">MSE </t>
    </r>
    <r>
      <rPr>
        <b/>
        <sz val="10"/>
        <color theme="0"/>
        <rFont val="Wingdings 3"/>
        <family val="1"/>
        <charset val="2"/>
      </rPr>
      <t>}</t>
    </r>
    <r>
      <rPr>
        <b/>
        <sz val="10"/>
        <color theme="0"/>
        <rFont val="Arial Narrow"/>
        <family val="2"/>
      </rPr>
      <t xml:space="preserve"> indicateurs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</si>
  <si>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B</t>
    </r>
  </si>
  <si>
    <r>
      <t xml:space="preserve">MSE </t>
    </r>
    <r>
      <rPr>
        <b/>
        <sz val="10"/>
        <color theme="0"/>
        <rFont val="Wingdings 3"/>
        <family val="1"/>
        <charset val="2"/>
      </rPr>
      <t>}</t>
    </r>
    <r>
      <rPr>
        <b/>
        <sz val="10"/>
        <color theme="0"/>
        <rFont val="Arial Narrow"/>
        <family val="2"/>
      </rPr>
      <t xml:space="preserve"> analytique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</si>
  <si>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C</t>
    </r>
  </si>
  <si>
    <r>
      <t xml:space="preserve">MSE </t>
    </r>
    <r>
      <rPr>
        <b/>
        <sz val="10"/>
        <color theme="0"/>
        <rFont val="Wingdings 3"/>
        <family val="1"/>
        <charset val="2"/>
      </rPr>
      <t>}</t>
    </r>
    <r>
      <rPr>
        <b/>
        <sz val="10"/>
        <color theme="0"/>
        <rFont val="Arial Narrow"/>
        <family val="2"/>
      </rPr>
      <t xml:space="preserve"> activités</t>
    </r>
  </si>
  <si>
    <r>
      <rPr>
        <b/>
        <sz val="10"/>
        <color theme="5"/>
        <rFont val="Wingdings 3"/>
        <family val="1"/>
        <charset val="2"/>
      </rPr>
      <t>}</t>
    </r>
    <r>
      <rPr>
        <b/>
        <sz val="10"/>
        <color theme="5"/>
        <rFont val="Arial Narrow"/>
        <family val="2"/>
      </rPr>
      <t xml:space="preserve"> &amp;</t>
    </r>
  </si>
  <si>
    <r>
      <t xml:space="preserve">MSE </t>
    </r>
    <r>
      <rPr>
        <b/>
        <sz val="10"/>
        <color theme="0"/>
        <rFont val="Wingdings 3"/>
        <family val="1"/>
        <charset val="2"/>
      </rPr>
      <t>}</t>
    </r>
    <r>
      <rPr>
        <b/>
        <sz val="10"/>
        <color theme="0"/>
        <rFont val="Arial Narrow"/>
        <family val="2"/>
      </rPr>
      <t xml:space="preserve"> process</t>
    </r>
  </si>
  <si>
    <t>process</t>
  </si>
  <si>
    <t>sigles</t>
  </si>
  <si>
    <t>faire test en conservant les salariés dans les charges</t>
  </si>
  <si>
    <t>Période du 01/01/2022 au 31/10/2022</t>
  </si>
  <si>
    <t>Exporté le31/10/2022</t>
  </si>
  <si>
    <t>dépenses</t>
  </si>
  <si>
    <t>bénévoles</t>
  </si>
  <si>
    <t>frais</t>
  </si>
  <si>
    <t>numéraire</t>
  </si>
  <si>
    <t>nature</t>
  </si>
  <si>
    <t>x</t>
  </si>
  <si>
    <t>max</t>
  </si>
  <si>
    <t>min</t>
  </si>
  <si>
    <t>total</t>
  </si>
  <si>
    <t>total €</t>
  </si>
  <si>
    <t>total %</t>
  </si>
  <si>
    <t>1. saisir la montant total du budget par nature de dépenses (E5 à E8)</t>
  </si>
  <si>
    <t>2. saisir la ventilation du financement de chacune des dépenses entre F3E numéraire / OSI numéraire / OSI nature (F5 à H8)</t>
  </si>
  <si>
    <t>plan de financement des études collectives amont</t>
  </si>
  <si>
    <t>OSC 1</t>
  </si>
  <si>
    <t>OSC 2</t>
  </si>
  <si>
    <t>OSC 3</t>
  </si>
  <si>
    <t>OSC 4</t>
  </si>
  <si>
    <t>OSC 5</t>
  </si>
  <si>
    <t>prise en charge F3E</t>
  </si>
  <si>
    <t>prise en charge OSC</t>
  </si>
  <si>
    <t>différentiel à payer</t>
  </si>
  <si>
    <t>différentiel</t>
  </si>
  <si>
    <t>ventilation plan de financement numéraire entre les OSC</t>
  </si>
  <si>
    <t>Etapes de l'étude : déroulé type et indicatif ci-dessous, adaptable selon les études</t>
  </si>
  <si>
    <t>Nombre de jours prévisionnel par personnes mobilisées : schéma d'intervenant-e-s type et indicatif, adaptable selon les études</t>
  </si>
  <si>
    <t>Total</t>
  </si>
  <si>
    <t>Chef-fe de mission</t>
  </si>
  <si>
    <t>Associé-e 1</t>
  </si>
  <si>
    <t>1. Cadrage / préparation</t>
  </si>
  <si>
    <t>Analyse bibliographique, échanges préparatoires</t>
  </si>
  <si>
    <t>Rédaction note de cadrage et réunion de cadrage</t>
  </si>
  <si>
    <t>2. Missions, collecte de données, concertation</t>
  </si>
  <si>
    <t>a) Mission en France</t>
  </si>
  <si>
    <t>Enquêtes, entretiens individuels et/ou ateliers collectifs, visites terrain</t>
  </si>
  <si>
    <t>Restitution(s) à chaud</t>
  </si>
  <si>
    <t>b) Mission à l'international</t>
  </si>
  <si>
    <t>3. Rédaction et restitutions</t>
  </si>
  <si>
    <t xml:space="preserve">Debriefing de l'étape précédente, analyse </t>
  </si>
  <si>
    <t>Rédaction rapport provisoire</t>
  </si>
  <si>
    <t>Restitution(s) rapport provisoire</t>
  </si>
  <si>
    <t>Finalisation rapport définitif + synthèse</t>
  </si>
  <si>
    <t>Restitution(s) rapport définitif</t>
  </si>
  <si>
    <t>TOTAL</t>
  </si>
  <si>
    <t>Coût unitaire TTC</t>
  </si>
  <si>
    <t>Nombre d'unités</t>
  </si>
  <si>
    <t>Chargé-e d'étude OSC 1</t>
  </si>
  <si>
    <t>jours</t>
  </si>
  <si>
    <t>Chargé-e d'étude OSC 2</t>
  </si>
  <si>
    <t>Chargé-e d'étude OSC 3</t>
  </si>
  <si>
    <t>Prise en charge consultant-e-s</t>
  </si>
  <si>
    <t>Per-diems consultant-e chef-e de mission</t>
  </si>
  <si>
    <t>Per-diems consultant-e associé-e 1</t>
  </si>
  <si>
    <t>Déplacements internationaux consultant-e-s</t>
  </si>
  <si>
    <t>A/R</t>
  </si>
  <si>
    <t>Déplacements locaux consultant-e-s dans pays</t>
  </si>
  <si>
    <t>Déplacements France consultant-e-s</t>
  </si>
  <si>
    <t>Frais divers consultant-e-s (visas, communication…)</t>
  </si>
  <si>
    <t>Frais pour la réalisation de l'étude (hors consultant-e-s)</t>
  </si>
  <si>
    <t>Per-diems chargé-e-s d'études OSC's</t>
  </si>
  <si>
    <t>Per-diems contributeur-trice-s</t>
  </si>
  <si>
    <t>Déplacements internationaux chargé-e-s d'études OSC's</t>
  </si>
  <si>
    <t>Déplacements internationaux contributeur-trice-s</t>
  </si>
  <si>
    <t>Déplacements France chargé-e-s d'études OSC's</t>
  </si>
  <si>
    <t>Déplacements France contributeur-trice-s</t>
  </si>
  <si>
    <t>Déplacements locaux dans pays</t>
  </si>
  <si>
    <t>Enquêtes</t>
  </si>
  <si>
    <t>Traductions</t>
  </si>
  <si>
    <t>Frais d'organisation d'ateliers</t>
  </si>
  <si>
    <t>Frais divers (visas, communication…)</t>
  </si>
  <si>
    <t>Préparation étapes suivantes (finalisation note cadrage, prise de RV, élaboration outils)</t>
  </si>
  <si>
    <t>Rubriques de frais types et indicatives ci-dessous,
adaptable selon les études</t>
  </si>
  <si>
    <t>…/…</t>
  </si>
  <si>
    <t>forfait</t>
  </si>
  <si>
    <t>unités</t>
  </si>
  <si>
    <t>Total TTC en €</t>
  </si>
  <si>
    <r>
      <t>Chargé-e-s d'études OSC</t>
    </r>
    <r>
      <rPr>
        <b/>
        <vertAlign val="superscript"/>
        <sz val="9"/>
        <color theme="0"/>
        <rFont val="Arial"/>
        <family val="2"/>
      </rPr>
      <t xml:space="preserve"> (1)</t>
    </r>
  </si>
  <si>
    <r>
      <t>Consultant-e-s</t>
    </r>
    <r>
      <rPr>
        <b/>
        <vertAlign val="superscript"/>
        <sz val="9"/>
        <color theme="0"/>
        <rFont val="Arial"/>
        <family val="2"/>
      </rPr>
      <t xml:space="preserve"> (2)</t>
    </r>
  </si>
  <si>
    <r>
      <t>Contributeur 
-trice-s</t>
    </r>
    <r>
      <rPr>
        <b/>
        <vertAlign val="superscript"/>
        <sz val="9"/>
        <color theme="0"/>
        <rFont val="Arial"/>
        <family val="2"/>
      </rPr>
      <t xml:space="preserve"> (3)</t>
    </r>
  </si>
  <si>
    <r>
      <t xml:space="preserve">… </t>
    </r>
    <r>
      <rPr>
        <b/>
        <vertAlign val="superscript"/>
        <sz val="9"/>
        <color theme="0"/>
        <rFont val="Arial"/>
        <family val="2"/>
      </rPr>
      <t>(4)</t>
    </r>
  </si>
  <si>
    <r>
      <t xml:space="preserve">Nombre total </t>
    </r>
    <r>
      <rPr>
        <b/>
        <vertAlign val="superscript"/>
        <sz val="9"/>
        <color theme="0"/>
        <rFont val="Arial"/>
        <family val="2"/>
      </rPr>
      <t>(5)</t>
    </r>
  </si>
  <si>
    <t>(1) Rémunération par leur OSC pour la réalisation de l’étude, tarifs dans les prix du marché : au moins 2 OSC françaises dont au moins 1 membre du F3E et au moins 1 OSC partenaire locale / ayant son siège dans le pays de l’étude</t>
  </si>
  <si>
    <t>(2) Honoraires/jour pour la réalisation de l’étude, tarifs dans les prix du marché</t>
  </si>
  <si>
    <t xml:space="preserve">(3) Contributions volontaires en nature à la  réalisation de l'étude, valorisation à hauteur de 300€/personne/jour maximum dans le budget de l'étude </t>
  </si>
  <si>
    <t>(4) Davantage éventuellement</t>
  </si>
  <si>
    <t>(5) Le détail du nombre de jours passés sur l'étude par chaque contributeur-trice et leus noms / fonctions seront à fournir en termes de justification dans les déclarations sur l'honneur à l'issue de l'étude</t>
  </si>
  <si>
    <t>(4) Le détail du nombre de jours passés sur l'étude par chaque contributeur-trice et leus noms / fonctions seront à fournir en termes de justification dans les déclarations sur l'honneur à l'issue de l'étude</t>
  </si>
  <si>
    <r>
      <t xml:space="preserve">Rémunération chargé-e-s d'études OSC </t>
    </r>
    <r>
      <rPr>
        <b/>
        <vertAlign val="superscript"/>
        <sz val="9"/>
        <rFont val="Arial"/>
        <family val="2"/>
      </rPr>
      <t>(1)</t>
    </r>
  </si>
  <si>
    <r>
      <t xml:space="preserve">Honoraires consultant-e chef-e de mission </t>
    </r>
    <r>
      <rPr>
        <vertAlign val="superscript"/>
        <sz val="9"/>
        <rFont val="Arial"/>
        <family val="2"/>
      </rPr>
      <t>(2)</t>
    </r>
  </si>
  <si>
    <r>
      <t xml:space="preserve">Total contributeur-trice-s concerné-e-s </t>
    </r>
    <r>
      <rPr>
        <vertAlign val="superscript"/>
        <sz val="9"/>
        <rFont val="Arial"/>
        <family val="2"/>
      </rPr>
      <t>(4)</t>
    </r>
  </si>
  <si>
    <r>
      <t xml:space="preserve">Honoraires consultant-e associé-e 1 </t>
    </r>
    <r>
      <rPr>
        <vertAlign val="superscript"/>
        <sz val="9"/>
        <rFont val="Arial"/>
        <family val="2"/>
      </rPr>
      <t>(2)</t>
    </r>
  </si>
  <si>
    <r>
      <t xml:space="preserve">Valorisation contributeur-trice-s </t>
    </r>
    <r>
      <rPr>
        <b/>
        <vertAlign val="superscript"/>
        <sz val="9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</si>
</sst>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&quot;F&quot;_-;\-* #,##0.00\ &quot;F&quot;_-;_-* &quot;-&quot;??\ &quot;F&quot;_-;_-@_-"/>
    <numFmt numFmtId="166" formatCode="0.0%"/>
    <numFmt numFmtId="167" formatCode="#,##0_ ;\-#,##0\ "/>
    <numFmt numFmtId="168" formatCode="yyyy"/>
    <numFmt numFmtId="169" formatCode="#,##0&quot; j&quot;"/>
    <numFmt numFmtId="170" formatCode="#,##0.00\ &quot;€&quot;"/>
    <numFmt numFmtId="171" formatCode="#,##0\ &quot;€&quot;"/>
    <numFmt numFmtId="172" formatCode="_-* #,##0\ &quot;€&quot;_-;\-* #,##0\ &quot;€&quot;_-;_-* &quot;-&quot;??\ &quot;€&quot;_-;_-@_-"/>
  </numFmts>
  <fonts count="12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theme="1"/>
      <name val="Arial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2"/>
      <scheme val="maj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Calibri"/>
      <family val="2"/>
    </font>
    <font>
      <b/>
      <sz val="10"/>
      <color rgb="FFC00000"/>
      <name val="Arial Narrow"/>
      <family val="2"/>
    </font>
    <font>
      <sz val="10"/>
      <color rgb="FFC00000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5" tint="-0.249977111117893"/>
      <name val="Arial Narrow"/>
      <family val="2"/>
    </font>
    <font>
      <i/>
      <sz val="10"/>
      <color theme="1"/>
      <name val="Arial Narrow"/>
      <family val="2"/>
    </font>
    <font>
      <b/>
      <i/>
      <sz val="8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b/>
      <sz val="8"/>
      <color theme="1"/>
      <name val="Arial Narrow"/>
      <family val="2"/>
    </font>
    <font>
      <sz val="10"/>
      <color rgb="FFC00000"/>
      <name val="Webdings"/>
      <family val="1"/>
      <charset val="2"/>
    </font>
    <font>
      <sz val="10"/>
      <color rgb="FF008000"/>
      <name val="Webdings"/>
      <family val="1"/>
      <charset val="2"/>
    </font>
    <font>
      <b/>
      <sz val="10"/>
      <color rgb="FF008000"/>
      <name val="Arial Narrow"/>
      <family val="2"/>
    </font>
    <font>
      <sz val="10"/>
      <color rgb="FF008000"/>
      <name val="Arial Narrow"/>
      <family val="2"/>
    </font>
    <font>
      <sz val="10"/>
      <color theme="9" tint="-0.249977111117893"/>
      <name val="Webdings"/>
      <family val="1"/>
      <charset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b/>
      <sz val="10"/>
      <color theme="9" tint="-0.249977111117893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sz val="8"/>
      <color rgb="FFC00000"/>
      <name val="Arial Narrow"/>
      <family val="2"/>
    </font>
    <font>
      <b/>
      <sz val="8"/>
      <color rgb="FF008000"/>
      <name val="Arial Narrow"/>
      <family val="2"/>
    </font>
    <font>
      <b/>
      <sz val="10"/>
      <color theme="3"/>
      <name val="Arial Narrow"/>
      <family val="2"/>
    </font>
    <font>
      <sz val="10"/>
      <name val="Calibri"/>
      <family val="2"/>
    </font>
    <font>
      <sz val="8"/>
      <color theme="1"/>
      <name val="Wingdings 3"/>
      <family val="1"/>
      <charset val="2"/>
    </font>
    <font>
      <b/>
      <i/>
      <sz val="8"/>
      <color rgb="FF008000"/>
      <name val="Arial Narrow"/>
      <family val="2"/>
    </font>
    <font>
      <i/>
      <sz val="8"/>
      <color theme="1"/>
      <name val="Arial Narrow"/>
      <family val="2"/>
    </font>
    <font>
      <b/>
      <i/>
      <sz val="8"/>
      <color rgb="FFC00000"/>
      <name val="Arial Narrow"/>
      <family val="2"/>
    </font>
    <font>
      <b/>
      <sz val="11"/>
      <color theme="1"/>
      <name val="Calibri"/>
      <family val="2"/>
    </font>
    <font>
      <i/>
      <sz val="10"/>
      <color theme="0"/>
      <name val="Arial Narrow"/>
      <family val="2"/>
    </font>
    <font>
      <b/>
      <sz val="10"/>
      <color theme="5"/>
      <name val="Arial Narrow"/>
      <family val="2"/>
    </font>
    <font>
      <b/>
      <sz val="10"/>
      <color theme="5"/>
      <name val="Wingdings 3"/>
      <family val="1"/>
      <charset val="2"/>
    </font>
    <font>
      <b/>
      <sz val="10"/>
      <color theme="5"/>
      <name val="Calibri"/>
      <family val="2"/>
    </font>
    <font>
      <b/>
      <sz val="10"/>
      <color theme="0"/>
      <name val="Wingdings 3"/>
      <family val="1"/>
      <charset val="2"/>
    </font>
    <font>
      <sz val="10"/>
      <color rgb="FFC00000"/>
      <name val="Wingdings 3"/>
      <family val="1"/>
      <charset val="2"/>
    </font>
    <font>
      <i/>
      <sz val="10"/>
      <color rgb="FFC00000"/>
      <name val="Arial Narrow"/>
      <family val="2"/>
    </font>
    <font>
      <u/>
      <sz val="8"/>
      <color rgb="FF0000FF"/>
      <name val="Arial Narrow"/>
      <family val="2"/>
    </font>
    <font>
      <u/>
      <sz val="8"/>
      <color theme="10"/>
      <name val="Arial Narrow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1"/>
      <color indexed="55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9"/>
      <color indexed="23"/>
      <name val="Arial Narrow"/>
      <family val="2"/>
    </font>
    <font>
      <b/>
      <sz val="9"/>
      <color theme="0"/>
      <name val="Arial"/>
      <family val="2"/>
    </font>
    <font>
      <b/>
      <sz val="11"/>
      <color theme="0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490">
    <xf numFmtId="0" fontId="0" fillId="0" borderId="0"/>
    <xf numFmtId="0" fontId="41" fillId="0" borderId="0"/>
    <xf numFmtId="0" fontId="22" fillId="0" borderId="0"/>
    <xf numFmtId="0" fontId="22" fillId="0" borderId="0"/>
    <xf numFmtId="165" fontId="41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42" fillId="4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42" fillId="37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42" fillId="40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42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0" fillId="13" borderId="0" applyNumberFormat="0" applyBorder="0" applyAlignment="0" applyProtection="0"/>
    <xf numFmtId="0" fontId="44" fillId="44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0" fillId="17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0" fillId="21" borderId="0" applyNumberFormat="0" applyBorder="0" applyAlignment="0" applyProtection="0"/>
    <xf numFmtId="0" fontId="44" fillId="42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0" fillId="25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0" fillId="29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0" fillId="33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0" fillId="10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0" fillId="1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50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0" fillId="22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0" fillId="26" borderId="0" applyNumberFormat="0" applyBorder="0" applyAlignment="0" applyProtection="0"/>
    <xf numFmtId="0" fontId="44" fillId="4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0" fillId="30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52" borderId="10" applyNumberFormat="0" applyAlignment="0" applyProtection="0"/>
    <xf numFmtId="0" fontId="46" fillId="52" borderId="10" applyNumberFormat="0" applyAlignment="0" applyProtection="0"/>
    <xf numFmtId="0" fontId="36" fillId="7" borderId="4" applyNumberFormat="0" applyAlignment="0" applyProtection="0"/>
    <xf numFmtId="0" fontId="46" fillId="52" borderId="10" applyNumberFormat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37" fillId="0" borderId="6" applyNumberFormat="0" applyFill="0" applyAlignment="0" applyProtection="0"/>
    <xf numFmtId="0" fontId="47" fillId="0" borderId="11" applyNumberFormat="0" applyFill="0" applyAlignment="0" applyProtection="0"/>
    <xf numFmtId="164" fontId="41" fillId="0" borderId="0" applyFont="0" applyFill="0" applyBorder="0" applyAlignment="0" applyProtection="0"/>
    <xf numFmtId="0" fontId="41" fillId="53" borderId="12" applyNumberFormat="0" applyFont="0" applyAlignment="0" applyProtection="0"/>
    <xf numFmtId="0" fontId="41" fillId="53" borderId="12" applyNumberFormat="0" applyFont="0" applyAlignment="0" applyProtection="0"/>
    <xf numFmtId="0" fontId="22" fillId="9" borderId="8" applyNumberFormat="0" applyFont="0" applyAlignment="0" applyProtection="0"/>
    <xf numFmtId="0" fontId="22" fillId="9" borderId="8" applyNumberFormat="0" applyFont="0" applyAlignment="0" applyProtection="0"/>
    <xf numFmtId="0" fontId="22" fillId="9" borderId="8" applyNumberFormat="0" applyFont="0" applyAlignment="0" applyProtection="0"/>
    <xf numFmtId="0" fontId="22" fillId="9" borderId="8" applyNumberFormat="0" applyFont="0" applyAlignment="0" applyProtection="0"/>
    <xf numFmtId="0" fontId="41" fillId="53" borderId="12" applyNumberFormat="0" applyFont="0" applyAlignment="0" applyProtection="0"/>
    <xf numFmtId="0" fontId="48" fillId="39" borderId="10" applyNumberFormat="0" applyAlignment="0" applyProtection="0"/>
    <xf numFmtId="0" fontId="48" fillId="39" borderId="10" applyNumberFormat="0" applyAlignment="0" applyProtection="0"/>
    <xf numFmtId="0" fontId="34" fillId="6" borderId="4" applyNumberFormat="0" applyAlignment="0" applyProtection="0"/>
    <xf numFmtId="0" fontId="48" fillId="39" borderId="10" applyNumberFormat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32" fillId="4" borderId="0" applyNumberFormat="0" applyBorder="0" applyAlignment="0" applyProtection="0"/>
    <xf numFmtId="0" fontId="49" fillId="35" borderId="0" applyNumberFormat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33" fillId="5" borderId="0" applyNumberFormat="0" applyBorder="0" applyAlignment="0" applyProtection="0"/>
    <xf numFmtId="0" fontId="51" fillId="54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31" fillId="3" borderId="0" applyNumberFormat="0" applyBorder="0" applyAlignment="0" applyProtection="0"/>
    <xf numFmtId="0" fontId="52" fillId="36" borderId="0" applyNumberFormat="0" applyBorder="0" applyAlignment="0" applyProtection="0"/>
    <xf numFmtId="0" fontId="53" fillId="52" borderId="13" applyNumberFormat="0" applyAlignment="0" applyProtection="0"/>
    <xf numFmtId="0" fontId="53" fillId="52" borderId="13" applyNumberFormat="0" applyAlignment="0" applyProtection="0"/>
    <xf numFmtId="0" fontId="35" fillId="7" borderId="5" applyNumberFormat="0" applyAlignment="0" applyProtection="0"/>
    <xf numFmtId="0" fontId="53" fillId="52" borderId="13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28" fillId="0" borderId="1" applyNumberFormat="0" applyFill="0" applyAlignment="0" applyProtection="0"/>
    <xf numFmtId="0" fontId="56" fillId="0" borderId="14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29" fillId="0" borderId="2" applyNumberFormat="0" applyFill="0" applyAlignment="0" applyProtection="0"/>
    <xf numFmtId="0" fontId="57" fillId="0" borderId="15" applyNumberFormat="0" applyFill="0" applyAlignment="0" applyProtection="0"/>
    <xf numFmtId="0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30" fillId="0" borderId="3" applyNumberFormat="0" applyFill="0" applyAlignment="0" applyProtection="0"/>
    <xf numFmtId="0" fontId="58" fillId="0" borderId="16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26" fillId="0" borderId="9" applyNumberFormat="0" applyFill="0" applyAlignment="0" applyProtection="0"/>
    <xf numFmtId="0" fontId="59" fillId="0" borderId="17" applyNumberFormat="0" applyFill="0" applyAlignment="0" applyProtection="0"/>
    <xf numFmtId="0" fontId="60" fillId="55" borderId="18" applyNumberFormat="0" applyAlignment="0" applyProtection="0"/>
    <xf numFmtId="0" fontId="60" fillId="55" borderId="18" applyNumberFormat="0" applyAlignment="0" applyProtection="0"/>
    <xf numFmtId="0" fontId="38" fillId="8" borderId="7" applyNumberFormat="0" applyAlignment="0" applyProtection="0"/>
    <xf numFmtId="0" fontId="60" fillId="55" borderId="18" applyNumberFormat="0" applyAlignment="0" applyProtection="0"/>
    <xf numFmtId="9" fontId="22" fillId="0" borderId="0" applyFont="0" applyFill="0" applyBorder="0" applyAlignment="0" applyProtection="0"/>
    <xf numFmtId="0" fontId="61" fillId="0" borderId="0"/>
    <xf numFmtId="0" fontId="41" fillId="0" borderId="0"/>
    <xf numFmtId="0" fontId="41" fillId="0" borderId="0"/>
    <xf numFmtId="0" fontId="62" fillId="56" borderId="19">
      <alignment horizontal="left" vertical="center"/>
    </xf>
    <xf numFmtId="2" fontId="63" fillId="56" borderId="0">
      <alignment horizontal="left" vertical="center"/>
    </xf>
    <xf numFmtId="0" fontId="64" fillId="0" borderId="0">
      <alignment horizontal="left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3" fontId="22" fillId="67" borderId="23" applyNumberFormat="0" applyFont="0" applyBorder="0" applyAlignment="0">
      <alignment horizontal="center"/>
    </xf>
    <xf numFmtId="0" fontId="22" fillId="68" borderId="23" applyNumberFormat="0" applyFont="0" applyBorder="0" applyAlignment="0">
      <protection locked="0"/>
    </xf>
    <xf numFmtId="0" fontId="22" fillId="69" borderId="24" applyNumberFormat="0" applyFont="0" applyBorder="0" applyAlignment="0"/>
    <xf numFmtId="0" fontId="3" fillId="0" borderId="0"/>
    <xf numFmtId="0" fontId="2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108" fillId="0" borderId="0"/>
    <xf numFmtId="44" fontId="108" fillId="0" borderId="0" applyFont="0" applyFill="0" applyBorder="0" applyAlignment="0" applyProtection="0"/>
  </cellStyleXfs>
  <cellXfs count="365">
    <xf numFmtId="0" fontId="0" fillId="0" borderId="0" xfId="0"/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14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4" fontId="24" fillId="0" borderId="0" xfId="0" applyNumberFormat="1" applyFont="1" applyAlignment="1">
      <alignment horizontal="left" vertical="center" indent="1"/>
    </xf>
    <xf numFmtId="4" fontId="24" fillId="0" borderId="0" xfId="0" applyNumberFormat="1" applyFont="1" applyAlignment="1">
      <alignment horizontal="right" vertical="center"/>
    </xf>
    <xf numFmtId="3" fontId="23" fillId="0" borderId="22" xfId="0" applyNumberFormat="1" applyFont="1" applyBorder="1" applyAlignment="1">
      <alignment horizontal="right" vertical="center" indent="1"/>
    </xf>
    <xf numFmtId="0" fontId="24" fillId="0" borderId="22" xfId="0" applyFont="1" applyBorder="1" applyAlignment="1">
      <alignment horizontal="left" vertical="center" indent="1"/>
    </xf>
    <xf numFmtId="3" fontId="24" fillId="0" borderId="22" xfId="0" applyNumberFormat="1" applyFont="1" applyBorder="1" applyAlignment="1">
      <alignment horizontal="right" vertical="center" indent="1"/>
    </xf>
    <xf numFmtId="0" fontId="23" fillId="0" borderId="22" xfId="0" quotePrefix="1" applyFont="1" applyBorder="1" applyAlignment="1">
      <alignment horizontal="left" vertical="center" indent="1"/>
    </xf>
    <xf numFmtId="14" fontId="24" fillId="0" borderId="0" xfId="0" applyNumberFormat="1" applyFont="1" applyAlignment="1">
      <alignment vertical="center"/>
    </xf>
    <xf numFmtId="0" fontId="67" fillId="65" borderId="22" xfId="0" applyFont="1" applyFill="1" applyBorder="1" applyAlignment="1">
      <alignment horizontal="left" vertical="center" indent="1"/>
    </xf>
    <xf numFmtId="4" fontId="21" fillId="0" borderId="0" xfId="0" applyNumberFormat="1" applyFont="1" applyAlignment="1">
      <alignment horizontal="left" vertical="center" indent="1"/>
    </xf>
    <xf numFmtId="4" fontId="21" fillId="0" borderId="0" xfId="0" applyNumberFormat="1" applyFont="1" applyAlignment="1">
      <alignment horizontal="right" vertical="center" indent="1"/>
    </xf>
    <xf numFmtId="3" fontId="21" fillId="0" borderId="0" xfId="0" applyNumberFormat="1" applyFont="1" applyAlignment="1">
      <alignment horizontal="right" vertical="center" indent="1"/>
    </xf>
    <xf numFmtId="166" fontId="21" fillId="0" borderId="0" xfId="1479" applyNumberFormat="1" applyFont="1" applyAlignment="1">
      <alignment horizontal="right" vertical="center" indent="1"/>
    </xf>
    <xf numFmtId="4" fontId="69" fillId="0" borderId="0" xfId="0" applyNumberFormat="1" applyFont="1" applyAlignment="1">
      <alignment horizontal="left" vertical="center" indent="1"/>
    </xf>
    <xf numFmtId="3" fontId="69" fillId="0" borderId="0" xfId="0" applyNumberFormat="1" applyFont="1" applyAlignment="1">
      <alignment horizontal="right" vertical="center" indent="1"/>
    </xf>
    <xf numFmtId="4" fontId="82" fillId="0" borderId="0" xfId="0" applyNumberFormat="1" applyFont="1" applyAlignment="1">
      <alignment horizontal="left" vertical="center" indent="1"/>
    </xf>
    <xf numFmtId="3" fontId="82" fillId="0" borderId="0" xfId="0" applyNumberFormat="1" applyFont="1" applyAlignment="1">
      <alignment horizontal="right" vertical="center" indent="1"/>
    </xf>
    <xf numFmtId="4" fontId="20" fillId="0" borderId="0" xfId="0" applyNumberFormat="1" applyFont="1" applyAlignment="1">
      <alignment horizontal="left" vertical="center" indent="1"/>
    </xf>
    <xf numFmtId="3" fontId="65" fillId="0" borderId="0" xfId="0" applyNumberFormat="1" applyFont="1" applyAlignment="1">
      <alignment horizontal="right" vertical="center" indent="1"/>
    </xf>
    <xf numFmtId="3" fontId="24" fillId="0" borderId="0" xfId="0" applyNumberFormat="1" applyFont="1" applyAlignment="1">
      <alignment horizontal="right" vertical="center" indent="1"/>
    </xf>
    <xf numFmtId="3" fontId="66" fillId="0" borderId="0" xfId="0" applyNumberFormat="1" applyFont="1" applyAlignment="1">
      <alignment horizontal="right" vertical="center" indent="1"/>
    </xf>
    <xf numFmtId="9" fontId="79" fillId="57" borderId="25" xfId="0" applyNumberFormat="1" applyFont="1" applyFill="1" applyBorder="1" applyAlignment="1">
      <alignment horizontal="right" vertical="center" indent="1"/>
    </xf>
    <xf numFmtId="9" fontId="73" fillId="57" borderId="25" xfId="1479" applyFont="1" applyFill="1" applyBorder="1" applyAlignment="1">
      <alignment horizontal="right" vertical="center" indent="1"/>
    </xf>
    <xf numFmtId="4" fontId="86" fillId="65" borderId="25" xfId="0" applyNumberFormat="1" applyFont="1" applyFill="1" applyBorder="1" applyAlignment="1">
      <alignment horizontal="right" vertical="center" indent="1"/>
    </xf>
    <xf numFmtId="4" fontId="72" fillId="57" borderId="25" xfId="0" applyNumberFormat="1" applyFont="1" applyFill="1" applyBorder="1" applyAlignment="1">
      <alignment horizontal="right" vertical="center" indent="1"/>
    </xf>
    <xf numFmtId="4" fontId="86" fillId="70" borderId="25" xfId="0" applyNumberFormat="1" applyFont="1" applyFill="1" applyBorder="1" applyAlignment="1">
      <alignment horizontal="right" vertical="center" indent="1"/>
    </xf>
    <xf numFmtId="4" fontId="86" fillId="62" borderId="25" xfId="0" applyNumberFormat="1" applyFont="1" applyFill="1" applyBorder="1" applyAlignment="1">
      <alignment horizontal="right" vertical="center" indent="1"/>
    </xf>
    <xf numFmtId="0" fontId="86" fillId="65" borderId="25" xfId="0" applyFont="1" applyFill="1" applyBorder="1" applyAlignment="1">
      <alignment horizontal="left" vertical="center" indent="1"/>
    </xf>
    <xf numFmtId="0" fontId="86" fillId="65" borderId="25" xfId="0" applyFont="1" applyFill="1" applyBorder="1" applyAlignment="1">
      <alignment horizontal="left" vertical="center" wrapText="1" indent="1"/>
    </xf>
    <xf numFmtId="0" fontId="89" fillId="59" borderId="25" xfId="0" applyFont="1" applyFill="1" applyBorder="1" applyAlignment="1">
      <alignment horizontal="left" vertical="center" indent="1"/>
    </xf>
    <xf numFmtId="0" fontId="88" fillId="59" borderId="25" xfId="0" applyFont="1" applyFill="1" applyBorder="1" applyAlignment="1">
      <alignment horizontal="left" vertical="center" wrapText="1" indent="1"/>
    </xf>
    <xf numFmtId="0" fontId="79" fillId="59" borderId="25" xfId="0" applyFont="1" applyFill="1" applyBorder="1" applyAlignment="1">
      <alignment horizontal="left" vertical="center" wrapText="1" indent="1"/>
    </xf>
    <xf numFmtId="0" fontId="79" fillId="59" borderId="25" xfId="0" applyFont="1" applyFill="1" applyBorder="1" applyAlignment="1">
      <alignment horizontal="left" vertical="center" indent="1"/>
    </xf>
    <xf numFmtId="0" fontId="88" fillId="59" borderId="25" xfId="0" applyFont="1" applyFill="1" applyBorder="1" applyAlignment="1">
      <alignment horizontal="left" vertical="center" indent="1"/>
    </xf>
    <xf numFmtId="0" fontId="79" fillId="64" borderId="25" xfId="0" applyFont="1" applyFill="1" applyBorder="1" applyAlignment="1">
      <alignment horizontal="left" vertical="center" indent="1"/>
    </xf>
    <xf numFmtId="0" fontId="88" fillId="64" borderId="25" xfId="0" applyFont="1" applyFill="1" applyBorder="1" applyAlignment="1">
      <alignment horizontal="left" vertical="center" wrapText="1" indent="1"/>
    </xf>
    <xf numFmtId="0" fontId="73" fillId="0" borderId="25" xfId="0" applyFont="1" applyBorder="1" applyAlignment="1">
      <alignment horizontal="left" vertical="center" indent="1"/>
    </xf>
    <xf numFmtId="0" fontId="77" fillId="0" borderId="25" xfId="0" applyFont="1" applyBorder="1" applyAlignment="1">
      <alignment horizontal="left" vertical="center" wrapText="1" indent="1"/>
    </xf>
    <xf numFmtId="0" fontId="73" fillId="59" borderId="25" xfId="0" applyFont="1" applyFill="1" applyBorder="1" applyAlignment="1">
      <alignment horizontal="left" vertical="center" indent="1"/>
    </xf>
    <xf numFmtId="0" fontId="77" fillId="59" borderId="25" xfId="0" applyFont="1" applyFill="1" applyBorder="1" applyAlignment="1">
      <alignment horizontal="left" vertical="center" wrapText="1" indent="1"/>
    </xf>
    <xf numFmtId="0" fontId="73" fillId="0" borderId="25" xfId="0" applyFont="1" applyBorder="1" applyAlignment="1">
      <alignment horizontal="left" vertical="center" wrapText="1" indent="1"/>
    </xf>
    <xf numFmtId="0" fontId="73" fillId="59" borderId="25" xfId="0" applyFont="1" applyFill="1" applyBorder="1" applyAlignment="1">
      <alignment horizontal="left" vertical="center" wrapText="1" indent="1"/>
    </xf>
    <xf numFmtId="0" fontId="79" fillId="64" borderId="25" xfId="0" applyFont="1" applyFill="1" applyBorder="1" applyAlignment="1">
      <alignment horizontal="left" vertical="center" wrapText="1" indent="1"/>
    </xf>
    <xf numFmtId="0" fontId="86" fillId="63" borderId="25" xfId="0" applyFont="1" applyFill="1" applyBorder="1" applyAlignment="1">
      <alignment horizontal="left" vertical="center" indent="1"/>
    </xf>
    <xf numFmtId="0" fontId="86" fillId="63" borderId="25" xfId="0" applyFont="1" applyFill="1" applyBorder="1" applyAlignment="1">
      <alignment horizontal="left" vertical="center" wrapText="1" indent="1"/>
    </xf>
    <xf numFmtId="0" fontId="79" fillId="61" borderId="25" xfId="0" applyFont="1" applyFill="1" applyBorder="1" applyAlignment="1">
      <alignment horizontal="left" vertical="center" indent="1"/>
    </xf>
    <xf numFmtId="0" fontId="79" fillId="61" borderId="25" xfId="0" applyFont="1" applyFill="1" applyBorder="1" applyAlignment="1">
      <alignment horizontal="left" vertical="center" wrapText="1" indent="1"/>
    </xf>
    <xf numFmtId="0" fontId="73" fillId="60" borderId="25" xfId="0" applyFont="1" applyFill="1" applyBorder="1" applyAlignment="1">
      <alignment horizontal="left" vertical="center" indent="1"/>
    </xf>
    <xf numFmtId="0" fontId="73" fillId="60" borderId="25" xfId="0" applyFont="1" applyFill="1" applyBorder="1" applyAlignment="1">
      <alignment horizontal="left" vertical="center" wrapText="1" indent="1"/>
    </xf>
    <xf numFmtId="0" fontId="86" fillId="62" borderId="25" xfId="0" applyFont="1" applyFill="1" applyBorder="1" applyAlignment="1">
      <alignment horizontal="left" vertical="center" indent="1"/>
    </xf>
    <xf numFmtId="0" fontId="86" fillId="62" borderId="25" xfId="0" applyFont="1" applyFill="1" applyBorder="1" applyAlignment="1">
      <alignment horizontal="left" vertical="center" wrapText="1" indent="1"/>
    </xf>
    <xf numFmtId="167" fontId="72" fillId="57" borderId="22" xfId="1480" applyNumberFormat="1" applyFont="1" applyFill="1" applyBorder="1" applyAlignment="1">
      <alignment horizontal="right" vertical="center" wrapText="1" indent="1"/>
    </xf>
    <xf numFmtId="167" fontId="86" fillId="65" borderId="22" xfId="1480" applyNumberFormat="1" applyFont="1" applyFill="1" applyBorder="1" applyAlignment="1">
      <alignment horizontal="right" vertical="center" wrapText="1" indent="1"/>
    </xf>
    <xf numFmtId="3" fontId="86" fillId="70" borderId="25" xfId="0" applyNumberFormat="1" applyFont="1" applyFill="1" applyBorder="1" applyAlignment="1">
      <alignment horizontal="right" vertical="center" indent="1"/>
    </xf>
    <xf numFmtId="3" fontId="86" fillId="62" borderId="25" xfId="0" applyNumberFormat="1" applyFont="1" applyFill="1" applyBorder="1" applyAlignment="1">
      <alignment horizontal="right" vertical="center" indent="1"/>
    </xf>
    <xf numFmtId="3" fontId="86" fillId="65" borderId="25" xfId="0" applyNumberFormat="1" applyFont="1" applyFill="1" applyBorder="1" applyAlignment="1">
      <alignment horizontal="right" vertical="center" indent="1"/>
    </xf>
    <xf numFmtId="0" fontId="86" fillId="65" borderId="25" xfId="0" applyFont="1" applyFill="1" applyBorder="1" applyAlignment="1">
      <alignment horizontal="right" vertical="center" indent="1"/>
    </xf>
    <xf numFmtId="0" fontId="67" fillId="65" borderId="25" xfId="0" applyFont="1" applyFill="1" applyBorder="1" applyAlignment="1">
      <alignment horizontal="right" vertical="center" indent="1"/>
    </xf>
    <xf numFmtId="4" fontId="79" fillId="64" borderId="25" xfId="0" applyNumberFormat="1" applyFont="1" applyFill="1" applyBorder="1" applyAlignment="1">
      <alignment horizontal="right" vertical="center" indent="1"/>
    </xf>
    <xf numFmtId="4" fontId="79" fillId="59" borderId="25" xfId="0" applyNumberFormat="1" applyFont="1" applyFill="1" applyBorder="1" applyAlignment="1">
      <alignment horizontal="right" vertical="center" indent="1"/>
    </xf>
    <xf numFmtId="4" fontId="86" fillId="63" borderId="25" xfId="0" applyNumberFormat="1" applyFont="1" applyFill="1" applyBorder="1" applyAlignment="1">
      <alignment horizontal="right" vertical="center" indent="1"/>
    </xf>
    <xf numFmtId="4" fontId="72" fillId="61" borderId="25" xfId="0" applyNumberFormat="1" applyFont="1" applyFill="1" applyBorder="1" applyAlignment="1">
      <alignment horizontal="right" vertical="center" indent="1"/>
    </xf>
    <xf numFmtId="4" fontId="73" fillId="0" borderId="25" xfId="0" applyNumberFormat="1" applyFont="1" applyBorder="1" applyAlignment="1">
      <alignment horizontal="right" vertical="center" indent="1"/>
    </xf>
    <xf numFmtId="4" fontId="73" fillId="59" borderId="25" xfId="0" applyNumberFormat="1" applyFont="1" applyFill="1" applyBorder="1" applyAlignment="1">
      <alignment horizontal="right" vertical="center" indent="1"/>
    </xf>
    <xf numFmtId="4" fontId="73" fillId="60" borderId="25" xfId="0" applyNumberFormat="1" applyFont="1" applyFill="1" applyBorder="1" applyAlignment="1">
      <alignment horizontal="right" vertical="center" indent="1"/>
    </xf>
    <xf numFmtId="3" fontId="79" fillId="64" borderId="25" xfId="0" applyNumberFormat="1" applyFont="1" applyFill="1" applyBorder="1" applyAlignment="1">
      <alignment horizontal="right" vertical="center" indent="1"/>
    </xf>
    <xf numFmtId="3" fontId="79" fillId="59" borderId="25" xfId="0" applyNumberFormat="1" applyFont="1" applyFill="1" applyBorder="1" applyAlignment="1">
      <alignment horizontal="right" vertical="center" indent="1"/>
    </xf>
    <xf numFmtId="3" fontId="73" fillId="0" borderId="25" xfId="0" applyNumberFormat="1" applyFont="1" applyBorder="1" applyAlignment="1">
      <alignment horizontal="right" vertical="center" indent="1"/>
    </xf>
    <xf numFmtId="3" fontId="73" fillId="59" borderId="25" xfId="0" applyNumberFormat="1" applyFont="1" applyFill="1" applyBorder="1" applyAlignment="1">
      <alignment horizontal="right" vertical="center" indent="1"/>
    </xf>
    <xf numFmtId="3" fontId="86" fillId="63" borderId="25" xfId="0" applyNumberFormat="1" applyFont="1" applyFill="1" applyBorder="1" applyAlignment="1">
      <alignment horizontal="right" vertical="center" indent="1"/>
    </xf>
    <xf numFmtId="3" fontId="72" fillId="61" borderId="25" xfId="0" applyNumberFormat="1" applyFont="1" applyFill="1" applyBorder="1" applyAlignment="1">
      <alignment horizontal="right" vertical="center" indent="1"/>
    </xf>
    <xf numFmtId="3" fontId="73" fillId="60" borderId="25" xfId="0" applyNumberFormat="1" applyFont="1" applyFill="1" applyBorder="1" applyAlignment="1">
      <alignment horizontal="right" vertical="center" indent="1"/>
    </xf>
    <xf numFmtId="0" fontId="72" fillId="57" borderId="25" xfId="0" applyFont="1" applyFill="1" applyBorder="1" applyAlignment="1">
      <alignment horizontal="right" vertical="center" indent="1"/>
    </xf>
    <xf numFmtId="0" fontId="86" fillId="71" borderId="25" xfId="0" applyFont="1" applyFill="1" applyBorder="1" applyAlignment="1">
      <alignment horizontal="right" vertical="center" indent="1"/>
    </xf>
    <xf numFmtId="0" fontId="86" fillId="72" borderId="25" xfId="0" applyFont="1" applyFill="1" applyBorder="1" applyAlignment="1">
      <alignment horizontal="right" vertical="center" indent="1"/>
    </xf>
    <xf numFmtId="4" fontId="79" fillId="0" borderId="0" xfId="0" applyNumberFormat="1" applyFont="1" applyAlignment="1">
      <alignment horizontal="right" vertical="center" indent="1"/>
    </xf>
    <xf numFmtId="4" fontId="91" fillId="0" borderId="0" xfId="0" applyNumberFormat="1" applyFont="1" applyAlignment="1">
      <alignment horizontal="right" vertical="center" indent="1"/>
    </xf>
    <xf numFmtId="4" fontId="90" fillId="0" borderId="0" xfId="0" applyNumberFormat="1" applyFont="1" applyAlignment="1">
      <alignment horizontal="right" vertical="center" indent="1"/>
    </xf>
    <xf numFmtId="4" fontId="18" fillId="0" borderId="0" xfId="0" applyNumberFormat="1" applyFont="1" applyAlignment="1">
      <alignment horizontal="left" vertical="center" indent="1"/>
    </xf>
    <xf numFmtId="4" fontId="82" fillId="0" borderId="0" xfId="0" applyNumberFormat="1" applyFont="1" applyAlignment="1">
      <alignment horizontal="right" vertical="center" indent="1"/>
    </xf>
    <xf numFmtId="4" fontId="69" fillId="0" borderId="0" xfId="0" applyNumberFormat="1" applyFont="1" applyAlignment="1">
      <alignment horizontal="right" vertical="center" indent="1"/>
    </xf>
    <xf numFmtId="4" fontId="17" fillId="0" borderId="0" xfId="0" applyNumberFormat="1" applyFont="1" applyAlignment="1">
      <alignment horizontal="left" vertical="center" indent="1"/>
    </xf>
    <xf numFmtId="10" fontId="24" fillId="0" borderId="0" xfId="1479" applyNumberFormat="1" applyFont="1" applyAlignment="1">
      <alignment horizontal="right" vertical="center" indent="1"/>
    </xf>
    <xf numFmtId="4" fontId="17" fillId="0" borderId="0" xfId="0" applyNumberFormat="1" applyFont="1" applyAlignment="1">
      <alignment horizontal="left" vertical="center" indent="2"/>
    </xf>
    <xf numFmtId="4" fontId="75" fillId="0" borderId="0" xfId="0" applyNumberFormat="1" applyFont="1" applyAlignment="1">
      <alignment horizontal="left" vertical="center" indent="3"/>
    </xf>
    <xf numFmtId="3" fontId="18" fillId="0" borderId="0" xfId="0" applyNumberFormat="1" applyFont="1" applyAlignment="1">
      <alignment horizontal="right" vertical="center" indent="1"/>
    </xf>
    <xf numFmtId="4" fontId="15" fillId="0" borderId="0" xfId="0" applyNumberFormat="1" applyFont="1" applyAlignment="1">
      <alignment horizontal="left" vertical="center" indent="1"/>
    </xf>
    <xf numFmtId="4" fontId="13" fillId="0" borderId="0" xfId="0" applyNumberFormat="1" applyFont="1" applyAlignment="1">
      <alignment horizontal="left" vertical="center" indent="1"/>
    </xf>
    <xf numFmtId="166" fontId="10" fillId="0" borderId="0" xfId="1479" applyNumberFormat="1" applyFont="1" applyAlignment="1">
      <alignment horizontal="right" vertical="center" indent="1"/>
    </xf>
    <xf numFmtId="4" fontId="9" fillId="0" borderId="0" xfId="0" applyNumberFormat="1" applyFont="1" applyAlignment="1">
      <alignment horizontal="left" vertical="center" indent="2"/>
    </xf>
    <xf numFmtId="4" fontId="8" fillId="0" borderId="0" xfId="0" applyNumberFormat="1" applyFont="1" applyAlignment="1">
      <alignment horizontal="left" vertical="center" indent="1"/>
    </xf>
    <xf numFmtId="10" fontId="86" fillId="63" borderId="25" xfId="1479" applyNumberFormat="1" applyFont="1" applyFill="1" applyBorder="1" applyAlignment="1">
      <alignment horizontal="right" vertical="center" wrapText="1" indent="1"/>
    </xf>
    <xf numFmtId="10" fontId="86" fillId="62" borderId="25" xfId="1479" applyNumberFormat="1" applyFont="1" applyFill="1" applyBorder="1" applyAlignment="1">
      <alignment horizontal="right" vertical="center" wrapText="1" indent="1"/>
    </xf>
    <xf numFmtId="0" fontId="94" fillId="0" borderId="0" xfId="0" applyFont="1" applyAlignment="1">
      <alignment horizontal="center" vertical="center"/>
    </xf>
    <xf numFmtId="168" fontId="66" fillId="0" borderId="0" xfId="0" applyNumberFormat="1" applyFont="1" applyAlignment="1">
      <alignment horizontal="right" vertical="center" indent="1"/>
    </xf>
    <xf numFmtId="4" fontId="66" fillId="0" borderId="0" xfId="0" applyNumberFormat="1" applyFont="1" applyAlignment="1">
      <alignment horizontal="right" vertical="center" indent="1"/>
    </xf>
    <xf numFmtId="0" fontId="7" fillId="0" borderId="25" xfId="0" applyFont="1" applyBorder="1" applyAlignment="1">
      <alignment horizontal="left" vertical="center" indent="2"/>
    </xf>
    <xf numFmtId="3" fontId="7" fillId="0" borderId="25" xfId="0" applyNumberFormat="1" applyFont="1" applyBorder="1" applyAlignment="1">
      <alignment horizontal="right" vertical="center" indent="1"/>
    </xf>
    <xf numFmtId="3" fontId="24" fillId="0" borderId="25" xfId="0" applyNumberFormat="1" applyFont="1" applyBorder="1" applyAlignment="1">
      <alignment horizontal="right" vertical="center" indent="1"/>
    </xf>
    <xf numFmtId="0" fontId="24" fillId="0" borderId="25" xfId="0" applyFont="1" applyBorder="1" applyAlignment="1">
      <alignment horizontal="left" vertical="center" indent="2"/>
    </xf>
    <xf numFmtId="0" fontId="67" fillId="65" borderId="25" xfId="0" applyFont="1" applyFill="1" applyBorder="1" applyAlignment="1">
      <alignment horizontal="left" vertical="center" indent="1"/>
    </xf>
    <xf numFmtId="168" fontId="67" fillId="65" borderId="25" xfId="0" applyNumberFormat="1" applyFont="1" applyFill="1" applyBorder="1" applyAlignment="1">
      <alignment horizontal="right" vertical="center" indent="1"/>
    </xf>
    <xf numFmtId="0" fontId="67" fillId="65" borderId="22" xfId="0" applyFont="1" applyFill="1" applyBorder="1" applyAlignment="1">
      <alignment horizontal="right" vertical="center" indent="1"/>
    </xf>
    <xf numFmtId="0" fontId="7" fillId="0" borderId="22" xfId="0" quotePrefix="1" applyFont="1" applyBorder="1" applyAlignment="1">
      <alignment horizontal="left" vertical="center" indent="1"/>
    </xf>
    <xf numFmtId="3" fontId="6" fillId="0" borderId="25" xfId="0" applyNumberFormat="1" applyFont="1" applyBorder="1" applyAlignment="1">
      <alignment horizontal="right" vertical="center" indent="1"/>
    </xf>
    <xf numFmtId="4" fontId="24" fillId="0" borderId="26" xfId="0" applyNumberFormat="1" applyFont="1" applyBorder="1" applyAlignment="1">
      <alignment horizontal="left" vertical="center" indent="1"/>
    </xf>
    <xf numFmtId="4" fontId="21" fillId="0" borderId="26" xfId="0" applyNumberFormat="1" applyFont="1" applyBorder="1" applyAlignment="1">
      <alignment horizontal="left" vertical="center" indent="1"/>
    </xf>
    <xf numFmtId="168" fontId="66" fillId="0" borderId="26" xfId="0" applyNumberFormat="1" applyFont="1" applyBorder="1" applyAlignment="1">
      <alignment horizontal="right" vertical="center" indent="1"/>
    </xf>
    <xf numFmtId="4" fontId="24" fillId="0" borderId="26" xfId="0" applyNumberFormat="1" applyFont="1" applyBorder="1" applyAlignment="1">
      <alignment horizontal="right" vertical="center" indent="1"/>
    </xf>
    <xf numFmtId="4" fontId="19" fillId="0" borderId="26" xfId="0" applyNumberFormat="1" applyFont="1" applyBorder="1" applyAlignment="1">
      <alignment horizontal="left" vertical="center" indent="1"/>
    </xf>
    <xf numFmtId="3" fontId="65" fillId="0" borderId="26" xfId="0" applyNumberFormat="1" applyFont="1" applyBorder="1" applyAlignment="1">
      <alignment horizontal="right" vertical="center" indent="1"/>
    </xf>
    <xf numFmtId="166" fontId="21" fillId="0" borderId="26" xfId="1479" applyNumberFormat="1" applyFont="1" applyBorder="1" applyAlignment="1">
      <alignment horizontal="right" vertical="center" indent="1"/>
    </xf>
    <xf numFmtId="3" fontId="24" fillId="0" borderId="26" xfId="0" applyNumberFormat="1" applyFont="1" applyBorder="1" applyAlignment="1">
      <alignment horizontal="right" vertical="center" indent="1"/>
    </xf>
    <xf numFmtId="166" fontId="24" fillId="0" borderId="26" xfId="1479" applyNumberFormat="1" applyFont="1" applyBorder="1" applyAlignment="1">
      <alignment horizontal="right" vertical="center" indent="1"/>
    </xf>
    <xf numFmtId="4" fontId="21" fillId="65" borderId="0" xfId="0" applyNumberFormat="1" applyFont="1" applyFill="1" applyAlignment="1">
      <alignment horizontal="left" vertical="center" indent="1"/>
    </xf>
    <xf numFmtId="4" fontId="21" fillId="0" borderId="21" xfId="0" applyNumberFormat="1" applyFont="1" applyBorder="1" applyAlignment="1">
      <alignment horizontal="left" vertical="center" indent="1"/>
    </xf>
    <xf numFmtId="4" fontId="67" fillId="65" borderId="26" xfId="0" applyNumberFormat="1" applyFont="1" applyFill="1" applyBorder="1" applyAlignment="1">
      <alignment horizontal="left" vertical="center" indent="1"/>
    </xf>
    <xf numFmtId="4" fontId="78" fillId="65" borderId="26" xfId="0" applyNumberFormat="1" applyFont="1" applyFill="1" applyBorder="1" applyAlignment="1">
      <alignment horizontal="left" vertical="center" indent="1"/>
    </xf>
    <xf numFmtId="3" fontId="21" fillId="0" borderId="26" xfId="0" applyNumberFormat="1" applyFont="1" applyBorder="1" applyAlignment="1">
      <alignment horizontal="right" vertical="center" indent="1"/>
    </xf>
    <xf numFmtId="3" fontId="66" fillId="0" borderId="26" xfId="0" applyNumberFormat="1" applyFont="1" applyBorder="1" applyAlignment="1">
      <alignment horizontal="right" vertical="center" indent="1"/>
    </xf>
    <xf numFmtId="4" fontId="82" fillId="0" borderId="26" xfId="0" applyNumberFormat="1" applyFont="1" applyBorder="1" applyAlignment="1">
      <alignment horizontal="left" vertical="center" indent="1"/>
    </xf>
    <xf numFmtId="4" fontId="83" fillId="0" borderId="26" xfId="0" applyNumberFormat="1" applyFont="1" applyBorder="1" applyAlignment="1">
      <alignment horizontal="left" vertical="center" indent="1"/>
    </xf>
    <xf numFmtId="3" fontId="82" fillId="0" borderId="26" xfId="0" applyNumberFormat="1" applyFont="1" applyBorder="1" applyAlignment="1">
      <alignment horizontal="right" vertical="center" indent="1"/>
    </xf>
    <xf numFmtId="166" fontId="82" fillId="0" borderId="26" xfId="1479" applyNumberFormat="1" applyFont="1" applyBorder="1" applyAlignment="1">
      <alignment horizontal="right" vertical="center" indent="1"/>
    </xf>
    <xf numFmtId="4" fontId="69" fillId="0" borderId="26" xfId="0" applyNumberFormat="1" applyFont="1" applyBorder="1" applyAlignment="1">
      <alignment horizontal="left" vertical="center" indent="1"/>
    </xf>
    <xf numFmtId="3" fontId="69" fillId="0" borderId="26" xfId="0" applyNumberFormat="1" applyFont="1" applyBorder="1" applyAlignment="1">
      <alignment horizontal="right" vertical="center" indent="1"/>
    </xf>
    <xf numFmtId="166" fontId="69" fillId="0" borderId="26" xfId="1479" applyNumberFormat="1" applyFont="1" applyBorder="1" applyAlignment="1">
      <alignment horizontal="right" vertical="center" indent="1"/>
    </xf>
    <xf numFmtId="4" fontId="70" fillId="0" borderId="26" xfId="0" applyNumberFormat="1" applyFont="1" applyBorder="1" applyAlignment="1">
      <alignment horizontal="left" vertical="center" indent="1"/>
    </xf>
    <xf numFmtId="4" fontId="17" fillId="0" borderId="26" xfId="0" applyNumberFormat="1" applyFont="1" applyBorder="1" applyAlignment="1">
      <alignment horizontal="left" vertical="center" indent="1"/>
    </xf>
    <xf numFmtId="4" fontId="8" fillId="0" borderId="26" xfId="0" applyNumberFormat="1" applyFont="1" applyBorder="1" applyAlignment="1">
      <alignment horizontal="left" vertical="center" indent="1"/>
    </xf>
    <xf numFmtId="4" fontId="7" fillId="0" borderId="26" xfId="0" applyNumberFormat="1" applyFont="1" applyBorder="1" applyAlignment="1">
      <alignment horizontal="left" vertical="center" indent="1"/>
    </xf>
    <xf numFmtId="4" fontId="20" fillId="0" borderId="26" xfId="0" applyNumberFormat="1" applyFont="1" applyBorder="1" applyAlignment="1">
      <alignment horizontal="left" vertical="center" indent="1"/>
    </xf>
    <xf numFmtId="0" fontId="66" fillId="57" borderId="25" xfId="0" applyFont="1" applyFill="1" applyBorder="1" applyAlignment="1">
      <alignment horizontal="left" vertical="center" indent="1"/>
    </xf>
    <xf numFmtId="168" fontId="66" fillId="57" borderId="25" xfId="0" applyNumberFormat="1" applyFont="1" applyFill="1" applyBorder="1" applyAlignment="1">
      <alignment horizontal="right" vertical="center" indent="1"/>
    </xf>
    <xf numFmtId="4" fontId="65" fillId="0" borderId="26" xfId="0" applyNumberFormat="1" applyFont="1" applyBorder="1" applyAlignment="1">
      <alignment horizontal="left" vertical="center" indent="1"/>
    </xf>
    <xf numFmtId="4" fontId="66" fillId="0" borderId="26" xfId="0" applyNumberFormat="1" applyFont="1" applyBorder="1" applyAlignment="1">
      <alignment horizontal="left" vertical="center" indent="1"/>
    </xf>
    <xf numFmtId="4" fontId="71" fillId="0" borderId="26" xfId="0" applyNumberFormat="1" applyFont="1" applyBorder="1" applyAlignment="1">
      <alignment horizontal="left" vertical="center" indent="1"/>
    </xf>
    <xf numFmtId="4" fontId="73" fillId="0" borderId="26" xfId="0" applyNumberFormat="1" applyFont="1" applyBorder="1" applyAlignment="1">
      <alignment horizontal="left" vertical="center" indent="1"/>
    </xf>
    <xf numFmtId="10" fontId="96" fillId="0" borderId="26" xfId="1479" applyNumberFormat="1" applyFont="1" applyBorder="1" applyAlignment="1">
      <alignment horizontal="right" vertical="center" indent="1"/>
    </xf>
    <xf numFmtId="169" fontId="21" fillId="0" borderId="26" xfId="0" applyNumberFormat="1" applyFont="1" applyBorder="1" applyAlignment="1">
      <alignment horizontal="right" vertical="center" indent="1"/>
    </xf>
    <xf numFmtId="169" fontId="69" fillId="0" borderId="26" xfId="0" applyNumberFormat="1" applyFont="1" applyBorder="1" applyAlignment="1">
      <alignment horizontal="right" vertical="center" indent="1"/>
    </xf>
    <xf numFmtId="169" fontId="82" fillId="0" borderId="26" xfId="0" applyNumberFormat="1" applyFont="1" applyBorder="1" applyAlignment="1">
      <alignment horizontal="right" vertical="center" indent="1"/>
    </xf>
    <xf numFmtId="4" fontId="99" fillId="65" borderId="0" xfId="0" applyNumberFormat="1" applyFont="1" applyFill="1" applyAlignment="1">
      <alignment horizontal="left" vertical="center" indent="1"/>
    </xf>
    <xf numFmtId="4" fontId="72" fillId="0" borderId="26" xfId="0" applyNumberFormat="1" applyFont="1" applyBorder="1" applyAlignment="1">
      <alignment horizontal="right" vertical="center" indent="1"/>
    </xf>
    <xf numFmtId="4" fontId="69" fillId="0" borderId="26" xfId="0" applyNumberFormat="1" applyFont="1" applyBorder="1" applyAlignment="1">
      <alignment horizontal="right" vertical="center" indent="1"/>
    </xf>
    <xf numFmtId="4" fontId="79" fillId="0" borderId="26" xfId="0" applyNumberFormat="1" applyFont="1" applyBorder="1" applyAlignment="1">
      <alignment horizontal="right" vertical="center" indent="1"/>
    </xf>
    <xf numFmtId="4" fontId="82" fillId="0" borderId="26" xfId="0" applyNumberFormat="1" applyFont="1" applyBorder="1" applyAlignment="1">
      <alignment horizontal="right" vertical="center" indent="1"/>
    </xf>
    <xf numFmtId="10" fontId="21" fillId="0" borderId="26" xfId="1479" applyNumberFormat="1" applyFont="1" applyBorder="1" applyAlignment="1">
      <alignment horizontal="right" vertical="center" indent="1"/>
    </xf>
    <xf numFmtId="4" fontId="18" fillId="0" borderId="26" xfId="0" applyNumberFormat="1" applyFont="1" applyBorder="1" applyAlignment="1">
      <alignment horizontal="left" vertical="center" indent="1"/>
    </xf>
    <xf numFmtId="10" fontId="24" fillId="0" borderId="26" xfId="1479" applyNumberFormat="1" applyFont="1" applyBorder="1" applyAlignment="1">
      <alignment horizontal="right" vertical="center" indent="1"/>
    </xf>
    <xf numFmtId="4" fontId="86" fillId="65" borderId="26" xfId="0" applyNumberFormat="1" applyFont="1" applyFill="1" applyBorder="1" applyAlignment="1">
      <alignment horizontal="right" vertical="center" indent="1"/>
    </xf>
    <xf numFmtId="4" fontId="67" fillId="65" borderId="20" xfId="0" applyNumberFormat="1" applyFont="1" applyFill="1" applyBorder="1" applyAlignment="1">
      <alignment horizontal="left" vertical="center" indent="1"/>
    </xf>
    <xf numFmtId="4" fontId="86" fillId="65" borderId="20" xfId="0" applyNumberFormat="1" applyFont="1" applyFill="1" applyBorder="1" applyAlignment="1">
      <alignment horizontal="right" vertical="center" indent="1"/>
    </xf>
    <xf numFmtId="4" fontId="24" fillId="2" borderId="26" xfId="0" applyNumberFormat="1" applyFont="1" applyFill="1" applyBorder="1" applyAlignment="1">
      <alignment horizontal="left" vertical="center" indent="1"/>
    </xf>
    <xf numFmtId="4" fontId="69" fillId="2" borderId="26" xfId="0" applyNumberFormat="1" applyFont="1" applyFill="1" applyBorder="1" applyAlignment="1">
      <alignment horizontal="right" vertical="center" indent="1"/>
    </xf>
    <xf numFmtId="4" fontId="79" fillId="2" borderId="26" xfId="0" applyNumberFormat="1" applyFont="1" applyFill="1" applyBorder="1" applyAlignment="1">
      <alignment horizontal="right" vertical="center" indent="1"/>
    </xf>
    <xf numFmtId="4" fontId="72" fillId="2" borderId="26" xfId="0" applyNumberFormat="1" applyFont="1" applyFill="1" applyBorder="1" applyAlignment="1">
      <alignment horizontal="right" vertical="center" indent="1"/>
    </xf>
    <xf numFmtId="4" fontId="82" fillId="2" borderId="26" xfId="0" applyNumberFormat="1" applyFont="1" applyFill="1" applyBorder="1" applyAlignment="1">
      <alignment horizontal="right" vertical="center" indent="1"/>
    </xf>
    <xf numFmtId="4" fontId="18" fillId="2" borderId="26" xfId="0" applyNumberFormat="1" applyFont="1" applyFill="1" applyBorder="1" applyAlignment="1">
      <alignment horizontal="left" vertical="center" indent="1"/>
    </xf>
    <xf numFmtId="3" fontId="65" fillId="2" borderId="26" xfId="0" applyNumberFormat="1" applyFont="1" applyFill="1" applyBorder="1" applyAlignment="1">
      <alignment horizontal="right" vertical="center" indent="1"/>
    </xf>
    <xf numFmtId="10" fontId="21" fillId="2" borderId="26" xfId="1479" applyNumberFormat="1" applyFont="1" applyFill="1" applyBorder="1" applyAlignment="1">
      <alignment horizontal="right" vertical="center" indent="1"/>
    </xf>
    <xf numFmtId="4" fontId="17" fillId="2" borderId="26" xfId="0" applyNumberFormat="1" applyFont="1" applyFill="1" applyBorder="1" applyAlignment="1">
      <alignment horizontal="left" vertical="center" indent="1"/>
    </xf>
    <xf numFmtId="3" fontId="66" fillId="2" borderId="26" xfId="0" applyNumberFormat="1" applyFont="1" applyFill="1" applyBorder="1" applyAlignment="1">
      <alignment horizontal="right" vertical="center" indent="1"/>
    </xf>
    <xf numFmtId="10" fontId="24" fillId="2" borderId="26" xfId="1479" applyNumberFormat="1" applyFont="1" applyFill="1" applyBorder="1" applyAlignment="1">
      <alignment horizontal="right" vertical="center" indent="1"/>
    </xf>
    <xf numFmtId="4" fontId="16" fillId="0" borderId="26" xfId="0" applyNumberFormat="1" applyFont="1" applyBorder="1" applyAlignment="1">
      <alignment horizontal="left" vertical="center" indent="1"/>
    </xf>
    <xf numFmtId="10" fontId="8" fillId="0" borderId="26" xfId="1479" applyNumberFormat="1" applyFont="1" applyBorder="1" applyAlignment="1">
      <alignment horizontal="right" vertical="center" indent="1"/>
    </xf>
    <xf numFmtId="3" fontId="8" fillId="0" borderId="26" xfId="0" applyNumberFormat="1" applyFont="1" applyBorder="1" applyAlignment="1">
      <alignment horizontal="right" vertical="center" indent="1"/>
    </xf>
    <xf numFmtId="3" fontId="8" fillId="0" borderId="26" xfId="0" applyNumberFormat="1" applyFont="1" applyBorder="1" applyAlignment="1">
      <alignment horizontal="left" vertical="center" indent="1"/>
    </xf>
    <xf numFmtId="10" fontId="82" fillId="0" borderId="26" xfId="1479" applyNumberFormat="1" applyFont="1" applyBorder="1" applyAlignment="1">
      <alignment horizontal="right" vertical="center" indent="1"/>
    </xf>
    <xf numFmtId="4" fontId="10" fillId="0" borderId="26" xfId="0" applyNumberFormat="1" applyFont="1" applyBorder="1" applyAlignment="1">
      <alignment horizontal="left" vertical="center" indent="1"/>
    </xf>
    <xf numFmtId="10" fontId="66" fillId="0" borderId="26" xfId="1479" applyNumberFormat="1" applyFont="1" applyBorder="1" applyAlignment="1">
      <alignment horizontal="right" vertical="center" indent="1"/>
    </xf>
    <xf numFmtId="1" fontId="92" fillId="0" borderId="26" xfId="0" applyNumberFormat="1" applyFont="1" applyBorder="1" applyAlignment="1">
      <alignment horizontal="right" vertical="center" indent="1"/>
    </xf>
    <xf numFmtId="4" fontId="12" fillId="0" borderId="26" xfId="0" applyNumberFormat="1" applyFont="1" applyBorder="1" applyAlignment="1">
      <alignment horizontal="left" vertical="center" indent="1"/>
    </xf>
    <xf numFmtId="166" fontId="65" fillId="0" borderId="26" xfId="1479" applyNumberFormat="1" applyFont="1" applyBorder="1" applyAlignment="1">
      <alignment horizontal="right" vertical="center" indent="1"/>
    </xf>
    <xf numFmtId="166" fontId="66" fillId="0" borderId="26" xfId="1479" applyNumberFormat="1" applyFont="1" applyBorder="1" applyAlignment="1">
      <alignment horizontal="right" vertical="center" indent="1"/>
    </xf>
    <xf numFmtId="1" fontId="87" fillId="0" borderId="26" xfId="0" applyNumberFormat="1" applyFont="1" applyBorder="1" applyAlignment="1">
      <alignment horizontal="right" vertical="center" indent="1"/>
    </xf>
    <xf numFmtId="1" fontId="74" fillId="0" borderId="26" xfId="0" applyNumberFormat="1" applyFont="1" applyBorder="1" applyAlignment="1">
      <alignment horizontal="right" vertical="center" indent="1"/>
    </xf>
    <xf numFmtId="4" fontId="13" fillId="0" borderId="26" xfId="0" applyNumberFormat="1" applyFont="1" applyBorder="1" applyAlignment="1">
      <alignment horizontal="left" vertical="center" indent="1"/>
    </xf>
    <xf numFmtId="4" fontId="11" fillId="0" borderId="26" xfId="0" applyNumberFormat="1" applyFont="1" applyBorder="1" applyAlignment="1">
      <alignment horizontal="left" vertical="center" indent="1"/>
    </xf>
    <xf numFmtId="4" fontId="14" fillId="0" borderId="26" xfId="0" applyNumberFormat="1" applyFont="1" applyBorder="1" applyAlignment="1">
      <alignment horizontal="left" vertical="center" indent="1"/>
    </xf>
    <xf numFmtId="3" fontId="12" fillId="0" borderId="26" xfId="0" applyNumberFormat="1" applyFont="1" applyBorder="1" applyAlignment="1">
      <alignment horizontal="right" vertical="center" indent="1"/>
    </xf>
    <xf numFmtId="4" fontId="21" fillId="0" borderId="26" xfId="0" applyNumberFormat="1" applyFont="1" applyBorder="1" applyAlignment="1">
      <alignment horizontal="right" vertical="center" indent="1"/>
    </xf>
    <xf numFmtId="1" fontId="67" fillId="63" borderId="26" xfId="0" applyNumberFormat="1" applyFont="1" applyFill="1" applyBorder="1" applyAlignment="1">
      <alignment horizontal="right" vertical="center" indent="1"/>
    </xf>
    <xf numFmtId="4" fontId="67" fillId="63" borderId="26" xfId="0" applyNumberFormat="1" applyFont="1" applyFill="1" applyBorder="1" applyAlignment="1">
      <alignment horizontal="left" vertical="center" indent="1"/>
    </xf>
    <xf numFmtId="4" fontId="67" fillId="62" borderId="26" xfId="0" applyNumberFormat="1" applyFont="1" applyFill="1" applyBorder="1" applyAlignment="1">
      <alignment horizontal="left" vertical="center" indent="1"/>
    </xf>
    <xf numFmtId="1" fontId="67" fillId="62" borderId="26" xfId="0" applyNumberFormat="1" applyFont="1" applyFill="1" applyBorder="1" applyAlignment="1">
      <alignment horizontal="right" vertical="center" indent="1"/>
    </xf>
    <xf numFmtId="1" fontId="67" fillId="65" borderId="26" xfId="0" applyNumberFormat="1" applyFont="1" applyFill="1" applyBorder="1" applyAlignment="1">
      <alignment horizontal="right" vertical="center" indent="1"/>
    </xf>
    <xf numFmtId="4" fontId="21" fillId="0" borderId="20" xfId="0" applyNumberFormat="1" applyFont="1" applyBorder="1" applyAlignment="1">
      <alignment horizontal="left" vertical="center" indent="1"/>
    </xf>
    <xf numFmtId="3" fontId="65" fillId="0" borderId="20" xfId="0" applyNumberFormat="1" applyFont="1" applyBorder="1" applyAlignment="1">
      <alignment horizontal="right" vertical="center" indent="1"/>
    </xf>
    <xf numFmtId="3" fontId="65" fillId="0" borderId="21" xfId="0" applyNumberFormat="1" applyFont="1" applyBorder="1" applyAlignment="1">
      <alignment horizontal="right" vertical="center" indent="1"/>
    </xf>
    <xf numFmtId="3" fontId="21" fillId="0" borderId="20" xfId="0" applyNumberFormat="1" applyFont="1" applyBorder="1" applyAlignment="1">
      <alignment horizontal="right" vertical="center" indent="1"/>
    </xf>
    <xf numFmtId="166" fontId="65" fillId="0" borderId="20" xfId="1479" applyNumberFormat="1" applyFont="1" applyBorder="1" applyAlignment="1">
      <alignment horizontal="right" vertical="center" indent="1"/>
    </xf>
    <xf numFmtId="4" fontId="14" fillId="0" borderId="20" xfId="0" applyNumberFormat="1" applyFont="1" applyBorder="1" applyAlignment="1">
      <alignment horizontal="left" vertical="center" indent="1"/>
    </xf>
    <xf numFmtId="3" fontId="21" fillId="0" borderId="21" xfId="0" applyNumberFormat="1" applyFont="1" applyBorder="1" applyAlignment="1">
      <alignment horizontal="right" vertical="center" indent="1"/>
    </xf>
    <xf numFmtId="166" fontId="65" fillId="0" borderId="21" xfId="1479" applyNumberFormat="1" applyFont="1" applyBorder="1" applyAlignment="1">
      <alignment horizontal="right" vertical="center" indent="1"/>
    </xf>
    <xf numFmtId="4" fontId="14" fillId="0" borderId="21" xfId="0" applyNumberFormat="1" applyFont="1" applyBorder="1" applyAlignment="1">
      <alignment horizontal="left" vertical="center" indent="1"/>
    </xf>
    <xf numFmtId="2" fontId="100" fillId="0" borderId="0" xfId="0" applyNumberFormat="1" applyFont="1" applyAlignment="1">
      <alignment horizontal="right" vertical="center" indent="1"/>
    </xf>
    <xf numFmtId="4" fontId="5" fillId="0" borderId="0" xfId="0" applyNumberFormat="1" applyFont="1" applyAlignment="1">
      <alignment horizontal="left" vertical="center" indent="1"/>
    </xf>
    <xf numFmtId="3" fontId="5" fillId="0" borderId="0" xfId="0" applyNumberFormat="1" applyFont="1" applyAlignment="1">
      <alignment horizontal="right" vertical="center" indent="1"/>
    </xf>
    <xf numFmtId="4" fontId="5" fillId="0" borderId="27" xfId="0" applyNumberFormat="1" applyFont="1" applyBorder="1" applyAlignment="1">
      <alignment horizontal="left" vertical="center" indent="1"/>
    </xf>
    <xf numFmtId="4" fontId="67" fillId="65" borderId="27" xfId="0" applyNumberFormat="1" applyFont="1" applyFill="1" applyBorder="1" applyAlignment="1">
      <alignment horizontal="left" vertical="center" indent="1"/>
    </xf>
    <xf numFmtId="4" fontId="78" fillId="65" borderId="27" xfId="0" applyNumberFormat="1" applyFont="1" applyFill="1" applyBorder="1" applyAlignment="1">
      <alignment horizontal="left" vertical="center" indent="1"/>
    </xf>
    <xf numFmtId="166" fontId="5" fillId="0" borderId="0" xfId="1479" applyNumberFormat="1" applyFont="1" applyAlignment="1">
      <alignment horizontal="right" vertical="center" indent="1"/>
    </xf>
    <xf numFmtId="4" fontId="5" fillId="0" borderId="0" xfId="0" applyNumberFormat="1" applyFont="1" applyAlignment="1">
      <alignment horizontal="left" vertical="center" indent="2"/>
    </xf>
    <xf numFmtId="0" fontId="81" fillId="0" borderId="0" xfId="0" applyFont="1" applyAlignment="1">
      <alignment horizontal="right" vertical="center"/>
    </xf>
    <xf numFmtId="0" fontId="84" fillId="0" borderId="0" xfId="0" applyFont="1" applyAlignment="1">
      <alignment horizontal="right" vertical="center"/>
    </xf>
    <xf numFmtId="49" fontId="104" fillId="0" borderId="0" xfId="0" quotePrefix="1" applyNumberFormat="1" applyFont="1" applyAlignment="1">
      <alignment horizontal="right" vertical="center"/>
    </xf>
    <xf numFmtId="0" fontId="80" fillId="0" borderId="0" xfId="0" applyFont="1" applyAlignment="1">
      <alignment horizontal="right" vertical="center"/>
    </xf>
    <xf numFmtId="4" fontId="105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vertical="center"/>
    </xf>
    <xf numFmtId="3" fontId="73" fillId="0" borderId="0" xfId="0" applyNumberFormat="1" applyFont="1" applyAlignment="1" applyProtection="1">
      <alignment horizontal="right" vertical="center" indent="1"/>
      <protection locked="0"/>
    </xf>
    <xf numFmtId="3" fontId="73" fillId="0" borderId="0" xfId="0" applyNumberFormat="1" applyFont="1" applyAlignment="1">
      <alignment horizontal="right" vertical="center" indent="1"/>
    </xf>
    <xf numFmtId="0" fontId="73" fillId="0" borderId="0" xfId="0" applyFont="1" applyAlignment="1">
      <alignment horizontal="right" vertical="center" indent="1"/>
    </xf>
    <xf numFmtId="0" fontId="79" fillId="0" borderId="0" xfId="0" applyFont="1" applyAlignment="1">
      <alignment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 indent="1"/>
    </xf>
    <xf numFmtId="0" fontId="86" fillId="58" borderId="0" xfId="0" applyFont="1" applyFill="1" applyAlignment="1">
      <alignment horizontal="right" vertical="center" indent="1"/>
    </xf>
    <xf numFmtId="0" fontId="86" fillId="58" borderId="28" xfId="0" applyFont="1" applyFill="1" applyBorder="1" applyAlignment="1">
      <alignment horizontal="left" vertical="center" indent="1"/>
    </xf>
    <xf numFmtId="0" fontId="86" fillId="58" borderId="28" xfId="0" applyFont="1" applyFill="1" applyBorder="1" applyAlignment="1">
      <alignment horizontal="right" vertical="center" indent="1"/>
    </xf>
    <xf numFmtId="0" fontId="73" fillId="0" borderId="0" xfId="0" applyFont="1" applyAlignment="1">
      <alignment horizontal="left" vertical="center" indent="1"/>
    </xf>
    <xf numFmtId="0" fontId="73" fillId="0" borderId="0" xfId="0" applyFont="1" applyAlignment="1">
      <alignment horizontal="center" vertical="center"/>
    </xf>
    <xf numFmtId="3" fontId="79" fillId="0" borderId="0" xfId="0" applyNumberFormat="1" applyFont="1" applyAlignment="1">
      <alignment horizontal="right" vertical="center" indent="1"/>
    </xf>
    <xf numFmtId="0" fontId="86" fillId="66" borderId="0" xfId="0" applyFont="1" applyFill="1" applyAlignment="1">
      <alignment horizontal="left" vertical="center" indent="1"/>
    </xf>
    <xf numFmtId="0" fontId="86" fillId="66" borderId="0" xfId="0" applyFont="1" applyFill="1" applyAlignment="1">
      <alignment horizontal="right" vertical="center" indent="1"/>
    </xf>
    <xf numFmtId="3" fontId="86" fillId="66" borderId="0" xfId="0" applyNumberFormat="1" applyFont="1" applyFill="1" applyAlignment="1">
      <alignment horizontal="right" vertical="center" indent="1"/>
    </xf>
    <xf numFmtId="0" fontId="79" fillId="64" borderId="0" xfId="0" applyFont="1" applyFill="1" applyAlignment="1">
      <alignment horizontal="left" vertical="center" indent="1"/>
    </xf>
    <xf numFmtId="0" fontId="73" fillId="64" borderId="0" xfId="0" applyFont="1" applyFill="1" applyAlignment="1">
      <alignment horizontal="right" vertical="center" indent="1"/>
    </xf>
    <xf numFmtId="166" fontId="79" fillId="64" borderId="0" xfId="1479" applyNumberFormat="1" applyFont="1" applyFill="1" applyBorder="1" applyAlignment="1" applyProtection="1">
      <alignment horizontal="right" vertical="center" indent="1"/>
    </xf>
    <xf numFmtId="3" fontId="79" fillId="64" borderId="0" xfId="0" applyNumberFormat="1" applyFont="1" applyFill="1" applyAlignment="1">
      <alignment horizontal="right" vertical="center" indent="1"/>
    </xf>
    <xf numFmtId="9" fontId="79" fillId="0" borderId="0" xfId="1479" applyFont="1" applyBorder="1" applyAlignment="1" applyProtection="1">
      <alignment horizontal="right" vertical="center" indent="1"/>
    </xf>
    <xf numFmtId="0" fontId="73" fillId="73" borderId="0" xfId="0" applyFont="1" applyFill="1" applyAlignment="1">
      <alignment horizontal="left" vertical="center" indent="1"/>
    </xf>
    <xf numFmtId="0" fontId="73" fillId="73" borderId="0" xfId="0" applyFont="1" applyFill="1" applyAlignment="1">
      <alignment horizontal="right" vertical="center" indent="1"/>
    </xf>
    <xf numFmtId="0" fontId="73" fillId="74" borderId="0" xfId="0" applyFont="1" applyFill="1" applyAlignment="1">
      <alignment horizontal="left" vertical="center" indent="1"/>
    </xf>
    <xf numFmtId="0" fontId="73" fillId="74" borderId="0" xfId="0" applyFont="1" applyFill="1" applyAlignment="1">
      <alignment horizontal="right" vertical="center" indent="1"/>
    </xf>
    <xf numFmtId="9" fontId="73" fillId="0" borderId="0" xfId="1479" applyFont="1" applyAlignment="1" applyProtection="1">
      <alignment horizontal="right" vertical="center" indent="1"/>
    </xf>
    <xf numFmtId="0" fontId="79" fillId="0" borderId="0" xfId="0" applyFont="1" applyAlignment="1">
      <alignment horizontal="right" vertical="center" indent="1"/>
    </xf>
    <xf numFmtId="0" fontId="86" fillId="58" borderId="0" xfId="0" applyFont="1" applyFill="1" applyAlignment="1">
      <alignment horizontal="left" vertical="center" indent="1"/>
    </xf>
    <xf numFmtId="3" fontId="86" fillId="58" borderId="0" xfId="0" applyNumberFormat="1" applyFont="1" applyFill="1" applyAlignment="1">
      <alignment horizontal="right" vertical="center" indent="1"/>
    </xf>
    <xf numFmtId="0" fontId="110" fillId="0" borderId="0" xfId="1488" applyFont="1" applyAlignment="1">
      <alignment horizontal="center" vertical="center" wrapText="1"/>
    </xf>
    <xf numFmtId="0" fontId="110" fillId="0" borderId="0" xfId="1488" applyFont="1" applyAlignment="1">
      <alignment vertical="center" wrapText="1"/>
    </xf>
    <xf numFmtId="0" fontId="65" fillId="0" borderId="0" xfId="1488" applyFont="1" applyAlignment="1">
      <alignment vertical="center"/>
    </xf>
    <xf numFmtId="0" fontId="112" fillId="0" borderId="0" xfId="1488" applyFont="1" applyAlignment="1">
      <alignment vertical="center"/>
    </xf>
    <xf numFmtId="0" fontId="114" fillId="0" borderId="0" xfId="1488" applyFont="1" applyAlignment="1">
      <alignment vertical="center"/>
    </xf>
    <xf numFmtId="0" fontId="113" fillId="0" borderId="0" xfId="1488" applyFont="1" applyAlignment="1">
      <alignment vertical="center"/>
    </xf>
    <xf numFmtId="0" fontId="77" fillId="0" borderId="41" xfId="1488" applyFont="1" applyBorder="1" applyAlignment="1">
      <alignment horizontal="left" vertical="center" wrapText="1" indent="1"/>
    </xf>
    <xf numFmtId="0" fontId="77" fillId="0" borderId="41" xfId="1488" applyFont="1" applyBorder="1" applyAlignment="1">
      <alignment horizontal="left" vertical="center" indent="1"/>
    </xf>
    <xf numFmtId="0" fontId="77" fillId="0" borderId="41" xfId="1488" applyFont="1" applyBorder="1" applyAlignment="1">
      <alignment horizontal="left" vertical="center"/>
    </xf>
    <xf numFmtId="0" fontId="116" fillId="0" borderId="0" xfId="1488" applyFont="1" applyAlignment="1">
      <alignment vertical="center"/>
    </xf>
    <xf numFmtId="0" fontId="117" fillId="0" borderId="0" xfId="1488" applyFont="1" applyAlignment="1">
      <alignment vertical="center"/>
    </xf>
    <xf numFmtId="170" fontId="118" fillId="0" borderId="0" xfId="1488" applyNumberFormat="1" applyFont="1" applyAlignment="1">
      <alignment vertical="center"/>
    </xf>
    <xf numFmtId="0" fontId="110" fillId="0" borderId="0" xfId="1488" applyFont="1" applyAlignment="1">
      <alignment vertical="center"/>
    </xf>
    <xf numFmtId="0" fontId="109" fillId="0" borderId="0" xfId="1488" applyFont="1" applyAlignment="1">
      <alignment vertical="center"/>
    </xf>
    <xf numFmtId="0" fontId="111" fillId="0" borderId="0" xfId="1488" applyFont="1" applyAlignment="1">
      <alignment vertical="center"/>
    </xf>
    <xf numFmtId="0" fontId="109" fillId="0" borderId="0" xfId="1488" applyFont="1" applyAlignment="1">
      <alignment horizontal="center" vertical="center"/>
    </xf>
    <xf numFmtId="171" fontId="65" fillId="0" borderId="30" xfId="1488" applyNumberFormat="1" applyFont="1" applyBorder="1" applyAlignment="1" applyProtection="1">
      <alignment horizontal="right" vertical="center" indent="1"/>
      <protection locked="0"/>
    </xf>
    <xf numFmtId="0" fontId="65" fillId="0" borderId="53" xfId="1488" applyFont="1" applyBorder="1" applyAlignment="1" applyProtection="1">
      <alignment horizontal="right" vertical="center" wrapText="1" indent="1"/>
      <protection locked="0"/>
    </xf>
    <xf numFmtId="0" fontId="65" fillId="0" borderId="53" xfId="1488" applyFont="1" applyBorder="1" applyAlignment="1" applyProtection="1">
      <alignment horizontal="right" vertical="center" indent="1"/>
      <protection locked="0"/>
    </xf>
    <xf numFmtId="3" fontId="65" fillId="0" borderId="53" xfId="1488" applyNumberFormat="1" applyFont="1" applyBorder="1" applyAlignment="1" applyProtection="1">
      <alignment horizontal="right" vertical="center" indent="1"/>
      <protection locked="0"/>
    </xf>
    <xf numFmtId="0" fontId="110" fillId="0" borderId="40" xfId="1488" applyFont="1" applyBorder="1" applyAlignment="1" applyProtection="1">
      <alignment horizontal="right" vertical="center" indent="2"/>
      <protection locked="0"/>
    </xf>
    <xf numFmtId="0" fontId="110" fillId="0" borderId="41" xfId="1488" applyFont="1" applyBorder="1" applyAlignment="1" applyProtection="1">
      <alignment horizontal="right" vertical="center" indent="2"/>
      <protection locked="0"/>
    </xf>
    <xf numFmtId="0" fontId="110" fillId="0" borderId="0" xfId="1488" applyFont="1" applyAlignment="1" applyProtection="1">
      <alignment horizontal="right" vertical="center" indent="2"/>
      <protection locked="0"/>
    </xf>
    <xf numFmtId="0" fontId="110" fillId="0" borderId="42" xfId="1488" applyFont="1" applyBorder="1" applyAlignment="1" applyProtection="1">
      <alignment horizontal="right" vertical="center" indent="2"/>
      <protection locked="0"/>
    </xf>
    <xf numFmtId="0" fontId="110" fillId="0" borderId="34" xfId="1488" applyFont="1" applyBorder="1" applyAlignment="1" applyProtection="1">
      <alignment horizontal="right" vertical="center" indent="2"/>
      <protection locked="0"/>
    </xf>
    <xf numFmtId="0" fontId="110" fillId="0" borderId="21" xfId="1488" applyFont="1" applyBorder="1" applyAlignment="1" applyProtection="1">
      <alignment horizontal="right" vertical="center" indent="2"/>
      <protection locked="0"/>
    </xf>
    <xf numFmtId="0" fontId="110" fillId="0" borderId="45" xfId="1488" applyFont="1" applyBorder="1" applyAlignment="1" applyProtection="1">
      <alignment horizontal="right" vertical="center" indent="2"/>
      <protection locked="0"/>
    </xf>
    <xf numFmtId="0" fontId="110" fillId="0" borderId="46" xfId="1488" applyFont="1" applyBorder="1" applyAlignment="1" applyProtection="1">
      <alignment horizontal="right" vertical="center" indent="2"/>
      <protection locked="0"/>
    </xf>
    <xf numFmtId="0" fontId="110" fillId="0" borderId="47" xfId="1488" applyFont="1" applyBorder="1" applyAlignment="1" applyProtection="1">
      <alignment horizontal="right" vertical="center" indent="2"/>
      <protection locked="0"/>
    </xf>
    <xf numFmtId="0" fontId="110" fillId="0" borderId="48" xfId="1488" applyFont="1" applyBorder="1" applyAlignment="1" applyProtection="1">
      <alignment horizontal="right" vertical="center" indent="2"/>
      <protection locked="0"/>
    </xf>
    <xf numFmtId="0" fontId="110" fillId="0" borderId="50" xfId="1488" applyFont="1" applyBorder="1" applyAlignment="1" applyProtection="1">
      <alignment horizontal="right" vertical="center" indent="2"/>
      <protection locked="0"/>
    </xf>
    <xf numFmtId="0" fontId="110" fillId="0" borderId="51" xfId="1488" applyFont="1" applyBorder="1" applyAlignment="1" applyProtection="1">
      <alignment horizontal="right" vertical="center" indent="2"/>
      <protection locked="0"/>
    </xf>
    <xf numFmtId="0" fontId="119" fillId="58" borderId="37" xfId="1488" applyFont="1" applyFill="1" applyBorder="1" applyAlignment="1">
      <alignment horizontal="center" vertical="center" wrapText="1"/>
    </xf>
    <xf numFmtId="0" fontId="119" fillId="58" borderId="30" xfId="1488" applyFont="1" applyFill="1" applyBorder="1" applyAlignment="1">
      <alignment horizontal="center" vertical="center" wrapText="1"/>
    </xf>
    <xf numFmtId="0" fontId="119" fillId="58" borderId="36" xfId="1488" applyFont="1" applyFill="1" applyBorder="1" applyAlignment="1">
      <alignment horizontal="center" vertical="center" wrapText="1"/>
    </xf>
    <xf numFmtId="0" fontId="119" fillId="58" borderId="38" xfId="1488" applyFont="1" applyFill="1" applyBorder="1" applyAlignment="1">
      <alignment horizontal="center" vertical="center" wrapText="1"/>
    </xf>
    <xf numFmtId="0" fontId="119" fillId="58" borderId="0" xfId="1488" applyFont="1" applyFill="1" applyAlignment="1">
      <alignment horizontal="center" vertical="center" wrapText="1"/>
    </xf>
    <xf numFmtId="0" fontId="120" fillId="66" borderId="52" xfId="1488" applyFont="1" applyFill="1" applyBorder="1" applyAlignment="1">
      <alignment horizontal="left" vertical="center" indent="1"/>
    </xf>
    <xf numFmtId="172" fontId="120" fillId="66" borderId="52" xfId="1489" applyNumberFormat="1" applyFont="1" applyFill="1" applyBorder="1" applyAlignment="1">
      <alignment horizontal="right" vertical="center" indent="1"/>
    </xf>
    <xf numFmtId="172" fontId="120" fillId="66" borderId="38" xfId="1489" applyNumberFormat="1" applyFont="1" applyFill="1" applyBorder="1" applyAlignment="1">
      <alignment horizontal="right" vertical="center" indent="1"/>
    </xf>
    <xf numFmtId="172" fontId="120" fillId="66" borderId="37" xfId="1489" applyNumberFormat="1" applyFont="1" applyFill="1" applyBorder="1" applyAlignment="1">
      <alignment vertical="center"/>
    </xf>
    <xf numFmtId="0" fontId="119" fillId="66" borderId="36" xfId="1488" applyFont="1" applyFill="1" applyBorder="1" applyAlignment="1">
      <alignment horizontal="right" vertical="center" indent="2"/>
    </xf>
    <xf numFmtId="0" fontId="119" fillId="66" borderId="54" xfId="1488" applyFont="1" applyFill="1" applyBorder="1" applyAlignment="1">
      <alignment horizontal="right" vertical="center" indent="2"/>
    </xf>
    <xf numFmtId="0" fontId="119" fillId="66" borderId="55" xfId="1488" applyFont="1" applyFill="1" applyBorder="1" applyAlignment="1">
      <alignment horizontal="right" vertical="center" indent="2"/>
    </xf>
    <xf numFmtId="0" fontId="119" fillId="66" borderId="37" xfId="1488" applyFont="1" applyFill="1" applyBorder="1" applyAlignment="1">
      <alignment horizontal="right" vertical="center" indent="2"/>
    </xf>
    <xf numFmtId="0" fontId="119" fillId="58" borderId="43" xfId="1488" applyFont="1" applyFill="1" applyBorder="1" applyAlignment="1">
      <alignment horizontal="center" vertical="center" wrapText="1"/>
    </xf>
    <xf numFmtId="0" fontId="119" fillId="66" borderId="56" xfId="1488" applyFont="1" applyFill="1" applyBorder="1" applyAlignment="1">
      <alignment horizontal="right" vertical="center" indent="2"/>
    </xf>
    <xf numFmtId="0" fontId="110" fillId="0" borderId="30" xfId="1488" applyFont="1" applyBorder="1" applyAlignment="1" applyProtection="1">
      <alignment horizontal="left" vertical="center" indent="1"/>
      <protection locked="0"/>
    </xf>
    <xf numFmtId="0" fontId="110" fillId="0" borderId="30" xfId="1488" applyFont="1" applyBorder="1" applyAlignment="1" applyProtection="1">
      <alignment horizontal="left" vertical="center" wrapText="1" indent="1"/>
      <protection locked="0"/>
    </xf>
    <xf numFmtId="0" fontId="110" fillId="0" borderId="33" xfId="1488" applyFont="1" applyBorder="1" applyAlignment="1" applyProtection="1">
      <alignment horizontal="left" vertical="center" indent="1"/>
      <protection locked="0"/>
    </xf>
    <xf numFmtId="0" fontId="109" fillId="0" borderId="30" xfId="1488" applyFont="1" applyBorder="1" applyAlignment="1" applyProtection="1">
      <alignment horizontal="left" vertical="center" indent="1"/>
      <protection locked="0"/>
    </xf>
    <xf numFmtId="0" fontId="119" fillId="66" borderId="52" xfId="1488" applyFont="1" applyFill="1" applyBorder="1" applyAlignment="1">
      <alignment horizontal="left" vertical="center" indent="1"/>
    </xf>
    <xf numFmtId="0" fontId="109" fillId="0" borderId="45" xfId="1488" applyFont="1" applyBorder="1" applyAlignment="1">
      <alignment horizontal="right" vertical="center" indent="2"/>
    </xf>
    <xf numFmtId="0" fontId="109" fillId="0" borderId="40" xfId="1488" applyFont="1" applyBorder="1" applyAlignment="1">
      <alignment horizontal="right" vertical="center" indent="2"/>
    </xf>
    <xf numFmtId="0" fontId="109" fillId="0" borderId="41" xfId="1488" applyFont="1" applyBorder="1" applyAlignment="1">
      <alignment horizontal="right" vertical="center" indent="2"/>
    </xf>
    <xf numFmtId="0" fontId="109" fillId="0" borderId="46" xfId="1488" applyFont="1" applyBorder="1" applyAlignment="1">
      <alignment horizontal="right" vertical="center" indent="2"/>
    </xf>
    <xf numFmtId="0" fontId="109" fillId="64" borderId="29" xfId="1488" applyFont="1" applyFill="1" applyBorder="1" applyAlignment="1" applyProtection="1">
      <alignment horizontal="left" vertical="center" indent="1"/>
      <protection locked="0"/>
    </xf>
    <xf numFmtId="0" fontId="109" fillId="64" borderId="43" xfId="1488" applyFont="1" applyFill="1" applyBorder="1" applyAlignment="1">
      <alignment horizontal="right" vertical="center" indent="2"/>
    </xf>
    <xf numFmtId="0" fontId="109" fillId="64" borderId="39" xfId="1488" applyFont="1" applyFill="1" applyBorder="1" applyAlignment="1">
      <alignment horizontal="right" vertical="center" indent="2"/>
    </xf>
    <xf numFmtId="0" fontId="109" fillId="64" borderId="31" xfId="1488" applyFont="1" applyFill="1" applyBorder="1" applyAlignment="1">
      <alignment horizontal="right" vertical="center" indent="2"/>
    </xf>
    <xf numFmtId="0" fontId="109" fillId="64" borderId="20" xfId="1488" applyFont="1" applyFill="1" applyBorder="1" applyAlignment="1">
      <alignment horizontal="right" vertical="center" indent="2"/>
    </xf>
    <xf numFmtId="0" fontId="109" fillId="64" borderId="44" xfId="1488" applyFont="1" applyFill="1" applyBorder="1" applyAlignment="1">
      <alignment horizontal="right" vertical="center" indent="2"/>
    </xf>
    <xf numFmtId="0" fontId="109" fillId="64" borderId="49" xfId="1488" applyFont="1" applyFill="1" applyBorder="1" applyAlignment="1">
      <alignment horizontal="right" vertical="center" indent="2"/>
    </xf>
    <xf numFmtId="0" fontId="77" fillId="64" borderId="41" xfId="1488" applyFont="1" applyFill="1" applyBorder="1" applyAlignment="1">
      <alignment horizontal="left" vertical="center" indent="1"/>
    </xf>
    <xf numFmtId="0" fontId="86" fillId="58" borderId="29" xfId="1488" applyFont="1" applyFill="1" applyBorder="1" applyAlignment="1">
      <alignment horizontal="left" vertical="center" indent="1"/>
    </xf>
    <xf numFmtId="0" fontId="77" fillId="0" borderId="30" xfId="1488" applyFont="1" applyBorder="1" applyAlignment="1">
      <alignment horizontal="left" vertical="center" indent="1"/>
    </xf>
    <xf numFmtId="3" fontId="77" fillId="0" borderId="30" xfId="1488" applyNumberFormat="1" applyFont="1" applyBorder="1" applyAlignment="1">
      <alignment horizontal="left" vertical="center" indent="1"/>
    </xf>
    <xf numFmtId="0" fontId="77" fillId="0" borderId="33" xfId="1488" applyFont="1" applyBorder="1" applyAlignment="1">
      <alignment horizontal="left" vertical="center" indent="1"/>
    </xf>
    <xf numFmtId="0" fontId="114" fillId="0" borderId="0" xfId="1488" applyFont="1" applyAlignment="1">
      <alignment horizontal="left" vertical="center" indent="1"/>
    </xf>
    <xf numFmtId="0" fontId="113" fillId="0" borderId="0" xfId="1488" applyFont="1" applyAlignment="1">
      <alignment horizontal="left" vertical="center" indent="1"/>
    </xf>
    <xf numFmtId="3" fontId="77" fillId="0" borderId="41" xfId="1488" applyNumberFormat="1" applyFont="1" applyBorder="1" applyAlignment="1" applyProtection="1">
      <alignment horizontal="left" vertical="center" indent="1"/>
      <protection locked="0"/>
    </xf>
    <xf numFmtId="0" fontId="110" fillId="0" borderId="53" xfId="1488" applyFont="1" applyBorder="1" applyAlignment="1" applyProtection="1">
      <alignment horizontal="left" vertical="center" indent="1"/>
      <protection locked="0"/>
    </xf>
    <xf numFmtId="0" fontId="109" fillId="64" borderId="29" xfId="1488" applyFont="1" applyFill="1" applyBorder="1" applyAlignment="1">
      <alignment horizontal="left" vertical="center" indent="1"/>
    </xf>
    <xf numFmtId="171" fontId="66" fillId="64" borderId="29" xfId="1488" applyNumberFormat="1" applyFont="1" applyFill="1" applyBorder="1" applyAlignment="1">
      <alignment horizontal="right" vertical="center" indent="1"/>
    </xf>
    <xf numFmtId="0" fontId="66" fillId="64" borderId="32" xfId="1488" applyFont="1" applyFill="1" applyBorder="1" applyAlignment="1">
      <alignment horizontal="right" vertical="center" wrapText="1" indent="1"/>
    </xf>
    <xf numFmtId="0" fontId="72" fillId="64" borderId="31" xfId="1488" applyFont="1" applyFill="1" applyBorder="1" applyAlignment="1">
      <alignment horizontal="left" vertical="center" wrapText="1" indent="1"/>
    </xf>
    <xf numFmtId="0" fontId="109" fillId="64" borderId="30" xfId="1488" applyFont="1" applyFill="1" applyBorder="1" applyAlignment="1">
      <alignment horizontal="left" vertical="center" indent="1"/>
    </xf>
    <xf numFmtId="171" fontId="66" fillId="64" borderId="41" xfId="1488" applyNumberFormat="1" applyFont="1" applyFill="1" applyBorder="1" applyAlignment="1">
      <alignment horizontal="right" vertical="center" indent="1"/>
    </xf>
    <xf numFmtId="0" fontId="66" fillId="64" borderId="53" xfId="1488" applyFont="1" applyFill="1" applyBorder="1" applyAlignment="1">
      <alignment horizontal="right" vertical="center" wrapText="1" indent="1"/>
    </xf>
    <xf numFmtId="0" fontId="72" fillId="64" borderId="0" xfId="1488" applyFont="1" applyFill="1" applyAlignment="1">
      <alignment horizontal="left" vertical="center" wrapText="1" indent="1"/>
    </xf>
    <xf numFmtId="0" fontId="109" fillId="64" borderId="53" xfId="1488" applyFont="1" applyFill="1" applyBorder="1" applyAlignment="1">
      <alignment horizontal="left" vertical="center" indent="1"/>
    </xf>
    <xf numFmtId="171" fontId="65" fillId="64" borderId="30" xfId="1488" applyNumberFormat="1" applyFont="1" applyFill="1" applyBorder="1" applyAlignment="1">
      <alignment horizontal="right" vertical="center" indent="1"/>
    </xf>
    <xf numFmtId="0" fontId="65" fillId="64" borderId="53" xfId="1488" applyFont="1" applyFill="1" applyBorder="1" applyAlignment="1">
      <alignment horizontal="right" vertical="center" indent="1"/>
    </xf>
    <xf numFmtId="3" fontId="112" fillId="64" borderId="29" xfId="1488" applyNumberFormat="1" applyFont="1" applyFill="1" applyBorder="1" applyAlignment="1">
      <alignment horizontal="right" vertical="center" indent="1"/>
    </xf>
    <xf numFmtId="3" fontId="113" fillId="0" borderId="30" xfId="1488" applyNumberFormat="1" applyFont="1" applyBorder="1" applyAlignment="1">
      <alignment horizontal="right" vertical="center" indent="1"/>
    </xf>
    <xf numFmtId="3" fontId="112" fillId="0" borderId="30" xfId="1488" applyNumberFormat="1" applyFont="1" applyBorder="1" applyAlignment="1">
      <alignment horizontal="right" vertical="center" indent="1"/>
    </xf>
    <xf numFmtId="3" fontId="112" fillId="64" borderId="30" xfId="1488" applyNumberFormat="1" applyFont="1" applyFill="1" applyBorder="1" applyAlignment="1">
      <alignment horizontal="right" vertical="center" indent="1"/>
    </xf>
    <xf numFmtId="3" fontId="115" fillId="0" borderId="30" xfId="1488" applyNumberFormat="1" applyFont="1" applyBorder="1" applyAlignment="1">
      <alignment horizontal="right" vertical="center" indent="1"/>
    </xf>
    <xf numFmtId="3" fontId="120" fillId="66" borderId="52" xfId="1489" applyNumberFormat="1" applyFont="1" applyFill="1" applyBorder="1" applyAlignment="1">
      <alignment horizontal="right" vertical="center" indent="1"/>
    </xf>
    <xf numFmtId="0" fontId="121" fillId="64" borderId="29" xfId="1488" applyFont="1" applyFill="1" applyBorder="1" applyAlignment="1">
      <alignment horizontal="right" vertical="center" indent="2"/>
    </xf>
    <xf numFmtId="0" fontId="122" fillId="0" borderId="30" xfId="1488" applyFont="1" applyBorder="1" applyAlignment="1">
      <alignment horizontal="right" vertical="center" indent="2"/>
    </xf>
    <xf numFmtId="0" fontId="121" fillId="0" borderId="30" xfId="1488" applyFont="1" applyBorder="1" applyAlignment="1">
      <alignment horizontal="right" vertical="center" indent="2"/>
    </xf>
    <xf numFmtId="0" fontId="85" fillId="58" borderId="0" xfId="0" applyFont="1" applyFill="1" applyAlignment="1">
      <alignment horizontal="right" vertical="center" indent="1"/>
    </xf>
    <xf numFmtId="0" fontId="86" fillId="66" borderId="28" xfId="0" applyFont="1" applyFill="1" applyBorder="1" applyAlignment="1">
      <alignment horizontal="left" vertical="center" indent="1"/>
    </xf>
    <xf numFmtId="0" fontId="86" fillId="66" borderId="28" xfId="0" applyFont="1" applyFill="1" applyBorder="1" applyAlignment="1">
      <alignment horizontal="center" vertical="center"/>
    </xf>
    <xf numFmtId="0" fontId="86" fillId="66" borderId="28" xfId="0" applyFont="1" applyFill="1" applyBorder="1" applyAlignment="1">
      <alignment horizontal="right" vertical="center" indent="1"/>
    </xf>
    <xf numFmtId="0" fontId="123" fillId="66" borderId="52" xfId="1488" applyFont="1" applyFill="1" applyBorder="1" applyAlignment="1">
      <alignment horizontal="right" vertical="center" indent="2"/>
    </xf>
    <xf numFmtId="3" fontId="72" fillId="66" borderId="0" xfId="0" applyNumberFormat="1" applyFont="1" applyFill="1" applyAlignment="1">
      <alignment horizontal="right" vertical="center" indent="1"/>
    </xf>
    <xf numFmtId="0" fontId="119" fillId="58" borderId="29" xfId="1488" applyFont="1" applyFill="1" applyBorder="1" applyAlignment="1">
      <alignment horizontal="center" vertical="center" wrapText="1"/>
    </xf>
    <xf numFmtId="0" fontId="119" fillId="58" borderId="30" xfId="1488" applyFont="1" applyFill="1" applyBorder="1" applyAlignment="1">
      <alignment horizontal="center" vertical="center" wrapText="1"/>
    </xf>
    <xf numFmtId="0" fontId="119" fillId="58" borderId="33" xfId="1488" applyFont="1" applyFill="1" applyBorder="1" applyAlignment="1">
      <alignment horizontal="center" vertical="center" wrapText="1"/>
    </xf>
    <xf numFmtId="0" fontId="119" fillId="58" borderId="27" xfId="1488" applyFont="1" applyFill="1" applyBorder="1" applyAlignment="1">
      <alignment horizontal="center" vertical="center" wrapText="1"/>
    </xf>
    <xf numFmtId="0" fontId="119" fillId="58" borderId="37" xfId="1488" applyFont="1" applyFill="1" applyBorder="1" applyAlignment="1">
      <alignment horizontal="center" vertical="center" wrapText="1"/>
    </xf>
    <xf numFmtId="0" fontId="119" fillId="58" borderId="20" xfId="1488" applyFont="1" applyFill="1" applyBorder="1" applyAlignment="1">
      <alignment horizontal="center" vertical="center" wrapText="1"/>
    </xf>
    <xf numFmtId="0" fontId="119" fillId="58" borderId="31" xfId="1488" applyFont="1" applyFill="1" applyBorder="1" applyAlignment="1">
      <alignment horizontal="center" vertical="center" wrapText="1"/>
    </xf>
    <xf numFmtId="0" fontId="119" fillId="58" borderId="21" xfId="1488" applyFont="1" applyFill="1" applyBorder="1" applyAlignment="1">
      <alignment horizontal="center" vertical="center" wrapText="1"/>
    </xf>
    <xf numFmtId="0" fontId="119" fillId="58" borderId="34" xfId="1488" applyFont="1" applyFill="1" applyBorder="1" applyAlignment="1">
      <alignment horizontal="center" vertical="center" wrapText="1"/>
    </xf>
    <xf numFmtId="0" fontId="119" fillId="58" borderId="32" xfId="1488" applyFont="1" applyFill="1" applyBorder="1" applyAlignment="1">
      <alignment horizontal="center" vertical="center" wrapText="1"/>
    </xf>
    <xf numFmtId="0" fontId="119" fillId="58" borderId="35" xfId="1488" applyFont="1" applyFill="1" applyBorder="1" applyAlignment="1">
      <alignment horizontal="center" vertical="center" wrapText="1"/>
    </xf>
    <xf numFmtId="0" fontId="67" fillId="58" borderId="29" xfId="1488" applyFont="1" applyFill="1" applyBorder="1" applyAlignment="1">
      <alignment horizontal="center" vertical="center" wrapText="1"/>
    </xf>
    <xf numFmtId="0" fontId="67" fillId="58" borderId="33" xfId="1488" applyFont="1" applyFill="1" applyBorder="1" applyAlignment="1">
      <alignment horizontal="center" vertical="center" wrapText="1"/>
    </xf>
    <xf numFmtId="0" fontId="67" fillId="58" borderId="32" xfId="1488" applyFont="1" applyFill="1" applyBorder="1" applyAlignment="1">
      <alignment horizontal="center" vertical="center" wrapText="1"/>
    </xf>
    <xf numFmtId="0" fontId="78" fillId="58" borderId="31" xfId="1488" applyFont="1" applyFill="1" applyBorder="1" applyAlignment="1">
      <alignment horizontal="center" vertical="center" wrapText="1"/>
    </xf>
    <xf numFmtId="0" fontId="67" fillId="58" borderId="35" xfId="1488" applyFont="1" applyFill="1" applyBorder="1" applyAlignment="1">
      <alignment horizontal="center" vertical="center" wrapText="1"/>
    </xf>
    <xf numFmtId="0" fontId="78" fillId="58" borderId="34" xfId="1488" applyFont="1" applyFill="1" applyBorder="1" applyAlignment="1">
      <alignment horizontal="center" vertical="center" wrapText="1"/>
    </xf>
    <xf numFmtId="170" fontId="67" fillId="58" borderId="29" xfId="1488" applyNumberFormat="1" applyFont="1" applyFill="1" applyBorder="1" applyAlignment="1">
      <alignment horizontal="center" vertical="center"/>
    </xf>
    <xf numFmtId="170" fontId="67" fillId="58" borderId="33" xfId="1488" applyNumberFormat="1" applyFont="1" applyFill="1" applyBorder="1" applyAlignment="1">
      <alignment horizontal="center" vertical="center"/>
    </xf>
    <xf numFmtId="3" fontId="86" fillId="62" borderId="26" xfId="0" applyNumberFormat="1" applyFont="1" applyFill="1" applyBorder="1" applyAlignment="1">
      <alignment horizontal="center" vertical="center"/>
    </xf>
    <xf numFmtId="4" fontId="86" fillId="63" borderId="26" xfId="0" applyNumberFormat="1" applyFont="1" applyFill="1" applyBorder="1" applyAlignment="1">
      <alignment horizontal="center" vertical="center"/>
    </xf>
    <xf numFmtId="3" fontId="86" fillId="65" borderId="26" xfId="0" applyNumberFormat="1" applyFont="1" applyFill="1" applyBorder="1" applyAlignment="1">
      <alignment horizontal="center" vertical="center"/>
    </xf>
    <xf numFmtId="4" fontId="67" fillId="65" borderId="27" xfId="0" applyNumberFormat="1" applyFont="1" applyFill="1" applyBorder="1" applyAlignment="1">
      <alignment horizontal="center" vertical="center"/>
    </xf>
  </cellXfs>
  <cellStyles count="1490">
    <cellStyle name="20 % - Accent1 2" xfId="11" xr:uid="{00000000-0005-0000-0000-000000000000}"/>
    <cellStyle name="20 % - Accent1 3" xfId="12" xr:uid="{00000000-0005-0000-0000-000001000000}"/>
    <cellStyle name="20 % - Accent1 4" xfId="13" xr:uid="{00000000-0005-0000-0000-000002000000}"/>
    <cellStyle name="20 % - Accent1 4 2" xfId="14" xr:uid="{00000000-0005-0000-0000-000003000000}"/>
    <cellStyle name="20 % - Accent1 4 2 2" xfId="15" xr:uid="{00000000-0005-0000-0000-000004000000}"/>
    <cellStyle name="20 % - Accent1 4 3" xfId="16" xr:uid="{00000000-0005-0000-0000-000005000000}"/>
    <cellStyle name="20 % - Accent1 5" xfId="17" xr:uid="{00000000-0005-0000-0000-000006000000}"/>
    <cellStyle name="20 % - Accent2 2" xfId="18" xr:uid="{00000000-0005-0000-0000-000007000000}"/>
    <cellStyle name="20 % - Accent2 3" xfId="19" xr:uid="{00000000-0005-0000-0000-000008000000}"/>
    <cellStyle name="20 % - Accent2 4" xfId="20" xr:uid="{00000000-0005-0000-0000-000009000000}"/>
    <cellStyle name="20 % - Accent2 4 2" xfId="21" xr:uid="{00000000-0005-0000-0000-00000A000000}"/>
    <cellStyle name="20 % - Accent2 4 2 2" xfId="22" xr:uid="{00000000-0005-0000-0000-00000B000000}"/>
    <cellStyle name="20 % - Accent2 4 3" xfId="23" xr:uid="{00000000-0005-0000-0000-00000C000000}"/>
    <cellStyle name="20 % - Accent2 5" xfId="24" xr:uid="{00000000-0005-0000-0000-00000D000000}"/>
    <cellStyle name="20 % - Accent3 2" xfId="25" xr:uid="{00000000-0005-0000-0000-00000E000000}"/>
    <cellStyle name="20 % - Accent3 3" xfId="26" xr:uid="{00000000-0005-0000-0000-00000F000000}"/>
    <cellStyle name="20 % - Accent3 4" xfId="27" xr:uid="{00000000-0005-0000-0000-000010000000}"/>
    <cellStyle name="20 % - Accent3 4 2" xfId="28" xr:uid="{00000000-0005-0000-0000-000011000000}"/>
    <cellStyle name="20 % - Accent3 4 2 2" xfId="29" xr:uid="{00000000-0005-0000-0000-000012000000}"/>
    <cellStyle name="20 % - Accent3 4 3" xfId="30" xr:uid="{00000000-0005-0000-0000-000013000000}"/>
    <cellStyle name="20 % - Accent3 5" xfId="31" xr:uid="{00000000-0005-0000-0000-000014000000}"/>
    <cellStyle name="20 % - Accent4 2" xfId="32" xr:uid="{00000000-0005-0000-0000-000015000000}"/>
    <cellStyle name="20 % - Accent4 3" xfId="33" xr:uid="{00000000-0005-0000-0000-000016000000}"/>
    <cellStyle name="20 % - Accent4 4" xfId="34" xr:uid="{00000000-0005-0000-0000-000017000000}"/>
    <cellStyle name="20 % - Accent4 4 2" xfId="35" xr:uid="{00000000-0005-0000-0000-000018000000}"/>
    <cellStyle name="20 % - Accent4 4 2 2" xfId="36" xr:uid="{00000000-0005-0000-0000-000019000000}"/>
    <cellStyle name="20 % - Accent4 4 3" xfId="37" xr:uid="{00000000-0005-0000-0000-00001A000000}"/>
    <cellStyle name="20 % - Accent4 5" xfId="38" xr:uid="{00000000-0005-0000-0000-00001B000000}"/>
    <cellStyle name="20 % - Accent5 2" xfId="39" xr:uid="{00000000-0005-0000-0000-00001C000000}"/>
    <cellStyle name="20 % - Accent5 3" xfId="40" xr:uid="{00000000-0005-0000-0000-00001D000000}"/>
    <cellStyle name="20 % - Accent5 4" xfId="41" xr:uid="{00000000-0005-0000-0000-00001E000000}"/>
    <cellStyle name="20 % - Accent5 4 2" xfId="42" xr:uid="{00000000-0005-0000-0000-00001F000000}"/>
    <cellStyle name="20 % - Accent5 4 2 2" xfId="43" xr:uid="{00000000-0005-0000-0000-000020000000}"/>
    <cellStyle name="20 % - Accent5 4 3" xfId="44" xr:uid="{00000000-0005-0000-0000-000021000000}"/>
    <cellStyle name="20 % - Accent5 5" xfId="45" xr:uid="{00000000-0005-0000-0000-000022000000}"/>
    <cellStyle name="20 % - Accent6 2" xfId="46" xr:uid="{00000000-0005-0000-0000-000023000000}"/>
    <cellStyle name="20 % - Accent6 3" xfId="47" xr:uid="{00000000-0005-0000-0000-000024000000}"/>
    <cellStyle name="20 % - Accent6 4" xfId="48" xr:uid="{00000000-0005-0000-0000-000025000000}"/>
    <cellStyle name="20 % - Accent6 4 2" xfId="49" xr:uid="{00000000-0005-0000-0000-000026000000}"/>
    <cellStyle name="20 % - Accent6 4 2 2" xfId="50" xr:uid="{00000000-0005-0000-0000-000027000000}"/>
    <cellStyle name="20 % - Accent6 4 3" xfId="51" xr:uid="{00000000-0005-0000-0000-000028000000}"/>
    <cellStyle name="20 % - Accent6 5" xfId="52" xr:uid="{00000000-0005-0000-0000-000029000000}"/>
    <cellStyle name="40 % - Accent1 2" xfId="53" xr:uid="{00000000-0005-0000-0000-00002A000000}"/>
    <cellStyle name="40 % - Accent1 3" xfId="54" xr:uid="{00000000-0005-0000-0000-00002B000000}"/>
    <cellStyle name="40 % - Accent1 4" xfId="55" xr:uid="{00000000-0005-0000-0000-00002C000000}"/>
    <cellStyle name="40 % - Accent1 4 2" xfId="56" xr:uid="{00000000-0005-0000-0000-00002D000000}"/>
    <cellStyle name="40 % - Accent1 4 2 2" xfId="57" xr:uid="{00000000-0005-0000-0000-00002E000000}"/>
    <cellStyle name="40 % - Accent1 4 3" xfId="58" xr:uid="{00000000-0005-0000-0000-00002F000000}"/>
    <cellStyle name="40 % - Accent1 5" xfId="59" xr:uid="{00000000-0005-0000-0000-000030000000}"/>
    <cellStyle name="40 % - Accent2 2" xfId="60" xr:uid="{00000000-0005-0000-0000-000031000000}"/>
    <cellStyle name="40 % - Accent2 3" xfId="61" xr:uid="{00000000-0005-0000-0000-000032000000}"/>
    <cellStyle name="40 % - Accent2 4" xfId="62" xr:uid="{00000000-0005-0000-0000-000033000000}"/>
    <cellStyle name="40 % - Accent2 4 2" xfId="63" xr:uid="{00000000-0005-0000-0000-000034000000}"/>
    <cellStyle name="40 % - Accent2 4 2 2" xfId="64" xr:uid="{00000000-0005-0000-0000-000035000000}"/>
    <cellStyle name="40 % - Accent2 4 3" xfId="65" xr:uid="{00000000-0005-0000-0000-000036000000}"/>
    <cellStyle name="40 % - Accent2 5" xfId="66" xr:uid="{00000000-0005-0000-0000-000037000000}"/>
    <cellStyle name="40 % - Accent3 2" xfId="67" xr:uid="{00000000-0005-0000-0000-000038000000}"/>
    <cellStyle name="40 % - Accent3 3" xfId="68" xr:uid="{00000000-0005-0000-0000-000039000000}"/>
    <cellStyle name="40 % - Accent3 4" xfId="69" xr:uid="{00000000-0005-0000-0000-00003A000000}"/>
    <cellStyle name="40 % - Accent3 4 2" xfId="70" xr:uid="{00000000-0005-0000-0000-00003B000000}"/>
    <cellStyle name="40 % - Accent3 4 2 2" xfId="71" xr:uid="{00000000-0005-0000-0000-00003C000000}"/>
    <cellStyle name="40 % - Accent3 4 3" xfId="72" xr:uid="{00000000-0005-0000-0000-00003D000000}"/>
    <cellStyle name="40 % - Accent3 5" xfId="73" xr:uid="{00000000-0005-0000-0000-00003E000000}"/>
    <cellStyle name="40 % - Accent4 2" xfId="74" xr:uid="{00000000-0005-0000-0000-00003F000000}"/>
    <cellStyle name="40 % - Accent4 3" xfId="75" xr:uid="{00000000-0005-0000-0000-000040000000}"/>
    <cellStyle name="40 % - Accent4 4" xfId="76" xr:uid="{00000000-0005-0000-0000-000041000000}"/>
    <cellStyle name="40 % - Accent4 4 2" xfId="77" xr:uid="{00000000-0005-0000-0000-000042000000}"/>
    <cellStyle name="40 % - Accent4 4 2 2" xfId="78" xr:uid="{00000000-0005-0000-0000-000043000000}"/>
    <cellStyle name="40 % - Accent4 4 3" xfId="79" xr:uid="{00000000-0005-0000-0000-000044000000}"/>
    <cellStyle name="40 % - Accent4 5" xfId="80" xr:uid="{00000000-0005-0000-0000-000045000000}"/>
    <cellStyle name="40 % - Accent5 2" xfId="81" xr:uid="{00000000-0005-0000-0000-000046000000}"/>
    <cellStyle name="40 % - Accent5 3" xfId="82" xr:uid="{00000000-0005-0000-0000-000047000000}"/>
    <cellStyle name="40 % - Accent5 4" xfId="83" xr:uid="{00000000-0005-0000-0000-000048000000}"/>
    <cellStyle name="40 % - Accent5 4 2" xfId="84" xr:uid="{00000000-0005-0000-0000-000049000000}"/>
    <cellStyle name="40 % - Accent5 4 2 2" xfId="85" xr:uid="{00000000-0005-0000-0000-00004A000000}"/>
    <cellStyle name="40 % - Accent5 4 3" xfId="86" xr:uid="{00000000-0005-0000-0000-00004B000000}"/>
    <cellStyle name="40 % - Accent5 5" xfId="87" xr:uid="{00000000-0005-0000-0000-00004C000000}"/>
    <cellStyle name="40 % - Accent6 2" xfId="88" xr:uid="{00000000-0005-0000-0000-00004D000000}"/>
    <cellStyle name="40 % - Accent6 3" xfId="89" xr:uid="{00000000-0005-0000-0000-00004E000000}"/>
    <cellStyle name="40 % - Accent6 4" xfId="90" xr:uid="{00000000-0005-0000-0000-00004F000000}"/>
    <cellStyle name="40 % - Accent6 4 2" xfId="91" xr:uid="{00000000-0005-0000-0000-000050000000}"/>
    <cellStyle name="40 % - Accent6 4 2 2" xfId="92" xr:uid="{00000000-0005-0000-0000-000051000000}"/>
    <cellStyle name="40 % - Accent6 4 3" xfId="93" xr:uid="{00000000-0005-0000-0000-000052000000}"/>
    <cellStyle name="40 % - Accent6 5" xfId="94" xr:uid="{00000000-0005-0000-0000-000053000000}"/>
    <cellStyle name="60 % - Accent1 2" xfId="95" xr:uid="{00000000-0005-0000-0000-000054000000}"/>
    <cellStyle name="60 % - Accent1 3" xfId="96" xr:uid="{00000000-0005-0000-0000-000055000000}"/>
    <cellStyle name="60 % - Accent1 4" xfId="97" xr:uid="{00000000-0005-0000-0000-000056000000}"/>
    <cellStyle name="60 % - Accent1 5" xfId="98" xr:uid="{00000000-0005-0000-0000-000057000000}"/>
    <cellStyle name="60 % - Accent2 2" xfId="99" xr:uid="{00000000-0005-0000-0000-000058000000}"/>
    <cellStyle name="60 % - Accent2 3" xfId="100" xr:uid="{00000000-0005-0000-0000-000059000000}"/>
    <cellStyle name="60 % - Accent2 4" xfId="101" xr:uid="{00000000-0005-0000-0000-00005A000000}"/>
    <cellStyle name="60 % - Accent2 5" xfId="102" xr:uid="{00000000-0005-0000-0000-00005B000000}"/>
    <cellStyle name="60 % - Accent3 2" xfId="103" xr:uid="{00000000-0005-0000-0000-00005C000000}"/>
    <cellStyle name="60 % - Accent3 3" xfId="104" xr:uid="{00000000-0005-0000-0000-00005D000000}"/>
    <cellStyle name="60 % - Accent3 4" xfId="105" xr:uid="{00000000-0005-0000-0000-00005E000000}"/>
    <cellStyle name="60 % - Accent3 5" xfId="106" xr:uid="{00000000-0005-0000-0000-00005F000000}"/>
    <cellStyle name="60 % - Accent4 2" xfId="107" xr:uid="{00000000-0005-0000-0000-000060000000}"/>
    <cellStyle name="60 % - Accent4 3" xfId="108" xr:uid="{00000000-0005-0000-0000-000061000000}"/>
    <cellStyle name="60 % - Accent4 4" xfId="109" xr:uid="{00000000-0005-0000-0000-000062000000}"/>
    <cellStyle name="60 % - Accent4 5" xfId="110" xr:uid="{00000000-0005-0000-0000-000063000000}"/>
    <cellStyle name="60 % - Accent5 2" xfId="111" xr:uid="{00000000-0005-0000-0000-000064000000}"/>
    <cellStyle name="60 % - Accent5 3" xfId="112" xr:uid="{00000000-0005-0000-0000-000065000000}"/>
    <cellStyle name="60 % - Accent5 4" xfId="113" xr:uid="{00000000-0005-0000-0000-000066000000}"/>
    <cellStyle name="60 % - Accent5 5" xfId="114" xr:uid="{00000000-0005-0000-0000-000067000000}"/>
    <cellStyle name="60 % - Accent6 2" xfId="115" xr:uid="{00000000-0005-0000-0000-000068000000}"/>
    <cellStyle name="60 % - Accent6 3" xfId="116" xr:uid="{00000000-0005-0000-0000-000069000000}"/>
    <cellStyle name="60 % - Accent6 4" xfId="117" xr:uid="{00000000-0005-0000-0000-00006A000000}"/>
    <cellStyle name="60 % - Accent6 5" xfId="118" xr:uid="{00000000-0005-0000-0000-00006B000000}"/>
    <cellStyle name="Accent1 2" xfId="119" xr:uid="{00000000-0005-0000-0000-00006C000000}"/>
    <cellStyle name="Accent1 3" xfId="120" xr:uid="{00000000-0005-0000-0000-00006D000000}"/>
    <cellStyle name="Accent1 4" xfId="121" xr:uid="{00000000-0005-0000-0000-00006E000000}"/>
    <cellStyle name="Accent1 5" xfId="122" xr:uid="{00000000-0005-0000-0000-00006F000000}"/>
    <cellStyle name="Accent2 2" xfId="123" xr:uid="{00000000-0005-0000-0000-000070000000}"/>
    <cellStyle name="Accent2 3" xfId="124" xr:uid="{00000000-0005-0000-0000-000071000000}"/>
    <cellStyle name="Accent2 4" xfId="125" xr:uid="{00000000-0005-0000-0000-000072000000}"/>
    <cellStyle name="Accent2 5" xfId="126" xr:uid="{00000000-0005-0000-0000-000073000000}"/>
    <cellStyle name="Accent3 2" xfId="127" xr:uid="{00000000-0005-0000-0000-000074000000}"/>
    <cellStyle name="Accent3 3" xfId="128" xr:uid="{00000000-0005-0000-0000-000075000000}"/>
    <cellStyle name="Accent3 4" xfId="129" xr:uid="{00000000-0005-0000-0000-000076000000}"/>
    <cellStyle name="Accent3 5" xfId="130" xr:uid="{00000000-0005-0000-0000-000077000000}"/>
    <cellStyle name="Accent4 2" xfId="131" xr:uid="{00000000-0005-0000-0000-000078000000}"/>
    <cellStyle name="Accent4 3" xfId="132" xr:uid="{00000000-0005-0000-0000-000079000000}"/>
    <cellStyle name="Accent4 4" xfId="133" xr:uid="{00000000-0005-0000-0000-00007A000000}"/>
    <cellStyle name="Accent4 5" xfId="134" xr:uid="{00000000-0005-0000-0000-00007B000000}"/>
    <cellStyle name="Accent5 2" xfId="135" xr:uid="{00000000-0005-0000-0000-00007C000000}"/>
    <cellStyle name="Accent5 3" xfId="136" xr:uid="{00000000-0005-0000-0000-00007D000000}"/>
    <cellStyle name="Accent5 4" xfId="137" xr:uid="{00000000-0005-0000-0000-00007E000000}"/>
    <cellStyle name="Accent5 5" xfId="138" xr:uid="{00000000-0005-0000-0000-00007F000000}"/>
    <cellStyle name="Accent6 2" xfId="139" xr:uid="{00000000-0005-0000-0000-000080000000}"/>
    <cellStyle name="Accent6 3" xfId="140" xr:uid="{00000000-0005-0000-0000-000081000000}"/>
    <cellStyle name="Accent6 4" xfId="141" xr:uid="{00000000-0005-0000-0000-000082000000}"/>
    <cellStyle name="Accent6 5" xfId="142" xr:uid="{00000000-0005-0000-0000-000083000000}"/>
    <cellStyle name="Avertissement 2" xfId="143" xr:uid="{00000000-0005-0000-0000-000084000000}"/>
    <cellStyle name="Avertissement 3" xfId="144" xr:uid="{00000000-0005-0000-0000-000085000000}"/>
    <cellStyle name="Avertissement 4" xfId="145" xr:uid="{00000000-0005-0000-0000-000086000000}"/>
    <cellStyle name="Avertissement 5" xfId="146" xr:uid="{00000000-0005-0000-0000-000087000000}"/>
    <cellStyle name="Calcul 2" xfId="147" xr:uid="{00000000-0005-0000-0000-000088000000}"/>
    <cellStyle name="Calcul 3" xfId="148" xr:uid="{00000000-0005-0000-0000-000089000000}"/>
    <cellStyle name="Calcul 4" xfId="149" xr:uid="{00000000-0005-0000-0000-00008A000000}"/>
    <cellStyle name="Calcul 5" xfId="150" xr:uid="{00000000-0005-0000-0000-00008B000000}"/>
    <cellStyle name="Cellule liée 2" xfId="151" xr:uid="{00000000-0005-0000-0000-00008C000000}"/>
    <cellStyle name="Cellule liée 2 2" xfId="152" xr:uid="{00000000-0005-0000-0000-00008D000000}"/>
    <cellStyle name="Cellule liée 2 2 2" xfId="153" xr:uid="{00000000-0005-0000-0000-00008E000000}"/>
    <cellStyle name="Cellule liée 2 2 2 2" xfId="154" xr:uid="{00000000-0005-0000-0000-00008F000000}"/>
    <cellStyle name="Cellule liée 2 2 3" xfId="155" xr:uid="{00000000-0005-0000-0000-000090000000}"/>
    <cellStyle name="Cellule liée 2 3" xfId="156" xr:uid="{00000000-0005-0000-0000-000091000000}"/>
    <cellStyle name="Cellule liée 2 3 2" xfId="157" xr:uid="{00000000-0005-0000-0000-000092000000}"/>
    <cellStyle name="Cellule liée 2 3 2 2" xfId="158" xr:uid="{00000000-0005-0000-0000-000093000000}"/>
    <cellStyle name="Cellule liée 2 3 3" xfId="159" xr:uid="{00000000-0005-0000-0000-000094000000}"/>
    <cellStyle name="Cellule liée 3" xfId="160" xr:uid="{00000000-0005-0000-0000-000095000000}"/>
    <cellStyle name="Cellule liée 3 2" xfId="161" xr:uid="{00000000-0005-0000-0000-000096000000}"/>
    <cellStyle name="Cellule liée 3 2 2" xfId="162" xr:uid="{00000000-0005-0000-0000-000097000000}"/>
    <cellStyle name="Cellule liée 3 2 2 2" xfId="163" xr:uid="{00000000-0005-0000-0000-000098000000}"/>
    <cellStyle name="Cellule liée 3 2 3" xfId="164" xr:uid="{00000000-0005-0000-0000-000099000000}"/>
    <cellStyle name="Cellule liée 3 3" xfId="165" xr:uid="{00000000-0005-0000-0000-00009A000000}"/>
    <cellStyle name="Cellule liée 3 3 2" xfId="166" xr:uid="{00000000-0005-0000-0000-00009B000000}"/>
    <cellStyle name="Cellule liée 3 3 2 2" xfId="167" xr:uid="{00000000-0005-0000-0000-00009C000000}"/>
    <cellStyle name="Cellule liée 3 3 3" xfId="168" xr:uid="{00000000-0005-0000-0000-00009D000000}"/>
    <cellStyle name="Cellule liée 4" xfId="169" xr:uid="{00000000-0005-0000-0000-00009E000000}"/>
    <cellStyle name="Cellule liée 4 2" xfId="170" xr:uid="{00000000-0005-0000-0000-00009F000000}"/>
    <cellStyle name="Cellule liée 4 2 2" xfId="171" xr:uid="{00000000-0005-0000-0000-0000A0000000}"/>
    <cellStyle name="Cellule liée 4 3" xfId="172" xr:uid="{00000000-0005-0000-0000-0000A1000000}"/>
    <cellStyle name="Cellule liée 5" xfId="173" xr:uid="{00000000-0005-0000-0000-0000A2000000}"/>
    <cellStyle name="Cellule liée 5 2" xfId="174" xr:uid="{00000000-0005-0000-0000-0000A3000000}"/>
    <cellStyle name="Cellule liée 5 2 2" xfId="175" xr:uid="{00000000-0005-0000-0000-0000A4000000}"/>
    <cellStyle name="Cellule liée 5 3" xfId="176" xr:uid="{00000000-0005-0000-0000-0000A5000000}"/>
    <cellStyle name="Cellule liée 6" xfId="177" xr:uid="{00000000-0005-0000-0000-0000A6000000}"/>
    <cellStyle name="Cellule liée 7" xfId="178" xr:uid="{00000000-0005-0000-0000-0000A7000000}"/>
    <cellStyle name="Comma_ERM BILAN 31032006" xfId="179" xr:uid="{00000000-0005-0000-0000-0000A8000000}"/>
    <cellStyle name="Commentaire 2" xfId="180" xr:uid="{00000000-0005-0000-0000-0000A9000000}"/>
    <cellStyle name="Commentaire 3" xfId="181" xr:uid="{00000000-0005-0000-0000-0000AA000000}"/>
    <cellStyle name="Commentaire 4" xfId="182" xr:uid="{00000000-0005-0000-0000-0000AB000000}"/>
    <cellStyle name="Commentaire 4 2" xfId="183" xr:uid="{00000000-0005-0000-0000-0000AC000000}"/>
    <cellStyle name="Commentaire 4 2 2" xfId="184" xr:uid="{00000000-0005-0000-0000-0000AD000000}"/>
    <cellStyle name="Commentaire 4 3" xfId="185" xr:uid="{00000000-0005-0000-0000-0000AE000000}"/>
    <cellStyle name="Commentaire 5" xfId="186" xr:uid="{00000000-0005-0000-0000-0000AF000000}"/>
    <cellStyle name="Entrée 2" xfId="187" xr:uid="{00000000-0005-0000-0000-0000B0000000}"/>
    <cellStyle name="Entrée 3" xfId="188" xr:uid="{00000000-0005-0000-0000-0000B1000000}"/>
    <cellStyle name="Entrée 4" xfId="189" xr:uid="{00000000-0005-0000-0000-0000B2000000}"/>
    <cellStyle name="Entrée 5" xfId="190" xr:uid="{00000000-0005-0000-0000-0000B3000000}"/>
    <cellStyle name="Euro" xfId="191" xr:uid="{00000000-0005-0000-0000-0000B4000000}"/>
    <cellStyle name="Euro 2" xfId="192" xr:uid="{00000000-0005-0000-0000-0000B5000000}"/>
    <cellStyle name="Euro 2 2" xfId="193" xr:uid="{00000000-0005-0000-0000-0000B6000000}"/>
    <cellStyle name="Euro 2 2 2" xfId="194" xr:uid="{00000000-0005-0000-0000-0000B7000000}"/>
    <cellStyle name="Euro 2 3" xfId="195" xr:uid="{00000000-0005-0000-0000-0000B8000000}"/>
    <cellStyle name="Euro 3" xfId="196" xr:uid="{00000000-0005-0000-0000-0000B9000000}"/>
    <cellStyle name="Euro 3 2" xfId="197" xr:uid="{00000000-0005-0000-0000-0000BA000000}"/>
    <cellStyle name="Euro 4" xfId="198" xr:uid="{00000000-0005-0000-0000-0000BB000000}"/>
    <cellStyle name="Euro 5" xfId="1489" xr:uid="{9B5A64E1-B608-4817-9DA2-F11E6339779C}"/>
    <cellStyle name="Insatisfaisant 2" xfId="199" xr:uid="{00000000-0005-0000-0000-0000BC000000}"/>
    <cellStyle name="Insatisfaisant 3" xfId="200" xr:uid="{00000000-0005-0000-0000-0000BD000000}"/>
    <cellStyle name="Insatisfaisant 4" xfId="201" xr:uid="{00000000-0005-0000-0000-0000BE000000}"/>
    <cellStyle name="Insatisfaisant 5" xfId="202" xr:uid="{00000000-0005-0000-0000-0000BF000000}"/>
    <cellStyle name="Lien hypertexte" xfId="1481" builtinId="8" customBuiltin="1"/>
    <cellStyle name="Lien hypertexte 2" xfId="10" xr:uid="{00000000-0005-0000-0000-0000C1000000}"/>
    <cellStyle name="Lien hypertexte 3" xfId="1487" xr:uid="{D446DC6E-B830-4DA6-A028-37D5F24671E9}"/>
    <cellStyle name="Milliers 10" xfId="203" xr:uid="{00000000-0005-0000-0000-0000C2000000}"/>
    <cellStyle name="Milliers 10 2" xfId="204" xr:uid="{00000000-0005-0000-0000-0000C3000000}"/>
    <cellStyle name="Milliers 11" xfId="205" xr:uid="{00000000-0005-0000-0000-0000C4000000}"/>
    <cellStyle name="Milliers 2" xfId="206" xr:uid="{00000000-0005-0000-0000-0000C5000000}"/>
    <cellStyle name="Milliers 2 2" xfId="9" xr:uid="{00000000-0005-0000-0000-0000C6000000}"/>
    <cellStyle name="Milliers 2 2 2" xfId="207" xr:uid="{00000000-0005-0000-0000-0000C7000000}"/>
    <cellStyle name="Milliers 2 2 2 2" xfId="208" xr:uid="{00000000-0005-0000-0000-0000C8000000}"/>
    <cellStyle name="Milliers 2 2 2 2 2" xfId="209" xr:uid="{00000000-0005-0000-0000-0000C9000000}"/>
    <cellStyle name="Milliers 2 2 2 3" xfId="210" xr:uid="{00000000-0005-0000-0000-0000CA000000}"/>
    <cellStyle name="Milliers 2 2 3" xfId="211" xr:uid="{00000000-0005-0000-0000-0000CB000000}"/>
    <cellStyle name="Milliers 2 2 3 2" xfId="212" xr:uid="{00000000-0005-0000-0000-0000CC000000}"/>
    <cellStyle name="Milliers 2 2 3 2 2" xfId="213" xr:uid="{00000000-0005-0000-0000-0000CD000000}"/>
    <cellStyle name="Milliers 2 2 3 3" xfId="214" xr:uid="{00000000-0005-0000-0000-0000CE000000}"/>
    <cellStyle name="Milliers 2 2 4" xfId="215" xr:uid="{00000000-0005-0000-0000-0000CF000000}"/>
    <cellStyle name="Milliers 2 2 4 2" xfId="216" xr:uid="{00000000-0005-0000-0000-0000D0000000}"/>
    <cellStyle name="Milliers 2 2 5" xfId="217" xr:uid="{00000000-0005-0000-0000-0000D1000000}"/>
    <cellStyle name="Milliers 2 2 5 2" xfId="218" xr:uid="{00000000-0005-0000-0000-0000D2000000}"/>
    <cellStyle name="Milliers 2 2 6" xfId="219" xr:uid="{00000000-0005-0000-0000-0000D3000000}"/>
    <cellStyle name="Milliers 2 3" xfId="220" xr:uid="{00000000-0005-0000-0000-0000D4000000}"/>
    <cellStyle name="Milliers 2 3 2" xfId="221" xr:uid="{00000000-0005-0000-0000-0000D5000000}"/>
    <cellStyle name="Milliers 2 3 2 2" xfId="222" xr:uid="{00000000-0005-0000-0000-0000D6000000}"/>
    <cellStyle name="Milliers 2 3 3" xfId="223" xr:uid="{00000000-0005-0000-0000-0000D7000000}"/>
    <cellStyle name="Milliers 2 4" xfId="224" xr:uid="{00000000-0005-0000-0000-0000D8000000}"/>
    <cellStyle name="Milliers 2 4 2" xfId="225" xr:uid="{00000000-0005-0000-0000-0000D9000000}"/>
    <cellStyle name="Milliers 2 5" xfId="226" xr:uid="{00000000-0005-0000-0000-0000DA000000}"/>
    <cellStyle name="Milliers 3" xfId="227" xr:uid="{00000000-0005-0000-0000-0000DB000000}"/>
    <cellStyle name="Milliers 3 2" xfId="228" xr:uid="{00000000-0005-0000-0000-0000DC000000}"/>
    <cellStyle name="Milliers 3 2 2" xfId="229" xr:uid="{00000000-0005-0000-0000-0000DD000000}"/>
    <cellStyle name="Milliers 3 2 2 2" xfId="230" xr:uid="{00000000-0005-0000-0000-0000DE000000}"/>
    <cellStyle name="Milliers 3 2 3" xfId="231" xr:uid="{00000000-0005-0000-0000-0000DF000000}"/>
    <cellStyle name="Milliers 3 3" xfId="232" xr:uid="{00000000-0005-0000-0000-0000E0000000}"/>
    <cellStyle name="Milliers 3 3 2" xfId="233" xr:uid="{00000000-0005-0000-0000-0000E1000000}"/>
    <cellStyle name="Milliers 3 4" xfId="234" xr:uid="{00000000-0005-0000-0000-0000E2000000}"/>
    <cellStyle name="Milliers 4" xfId="235" xr:uid="{00000000-0005-0000-0000-0000E3000000}"/>
    <cellStyle name="Milliers 4 2" xfId="6" xr:uid="{00000000-0005-0000-0000-0000E4000000}"/>
    <cellStyle name="Milliers 4 2 2" xfId="236" xr:uid="{00000000-0005-0000-0000-0000E5000000}"/>
    <cellStyle name="Milliers 4 2 2 2" xfId="237" xr:uid="{00000000-0005-0000-0000-0000E6000000}"/>
    <cellStyle name="Milliers 4 2 2 2 2" xfId="238" xr:uid="{00000000-0005-0000-0000-0000E7000000}"/>
    <cellStyle name="Milliers 4 2 2 3" xfId="239" xr:uid="{00000000-0005-0000-0000-0000E8000000}"/>
    <cellStyle name="Milliers 4 2 3" xfId="240" xr:uid="{00000000-0005-0000-0000-0000E9000000}"/>
    <cellStyle name="Milliers 4 2 3 2" xfId="241" xr:uid="{00000000-0005-0000-0000-0000EA000000}"/>
    <cellStyle name="Milliers 4 2 3 2 2" xfId="242" xr:uid="{00000000-0005-0000-0000-0000EB000000}"/>
    <cellStyle name="Milliers 4 2 3 3" xfId="243" xr:uid="{00000000-0005-0000-0000-0000EC000000}"/>
    <cellStyle name="Milliers 4 2 4" xfId="244" xr:uid="{00000000-0005-0000-0000-0000ED000000}"/>
    <cellStyle name="Milliers 4 2 4 2" xfId="245" xr:uid="{00000000-0005-0000-0000-0000EE000000}"/>
    <cellStyle name="Milliers 4 2 5" xfId="246" xr:uid="{00000000-0005-0000-0000-0000EF000000}"/>
    <cellStyle name="Milliers 4 3" xfId="247" xr:uid="{00000000-0005-0000-0000-0000F0000000}"/>
    <cellStyle name="Milliers 4 3 2" xfId="248" xr:uid="{00000000-0005-0000-0000-0000F1000000}"/>
    <cellStyle name="Milliers 4 3 2 2" xfId="249" xr:uid="{00000000-0005-0000-0000-0000F2000000}"/>
    <cellStyle name="Milliers 4 3 3" xfId="250" xr:uid="{00000000-0005-0000-0000-0000F3000000}"/>
    <cellStyle name="Milliers 4 4" xfId="251" xr:uid="{00000000-0005-0000-0000-0000F4000000}"/>
    <cellStyle name="Milliers 4 4 2" xfId="252" xr:uid="{00000000-0005-0000-0000-0000F5000000}"/>
    <cellStyle name="Milliers 4 5" xfId="253" xr:uid="{00000000-0005-0000-0000-0000F6000000}"/>
    <cellStyle name="Milliers 5" xfId="254" xr:uid="{00000000-0005-0000-0000-0000F7000000}"/>
    <cellStyle name="Milliers 5 2" xfId="255" xr:uid="{00000000-0005-0000-0000-0000F8000000}"/>
    <cellStyle name="Milliers 5 2 2" xfId="256" xr:uid="{00000000-0005-0000-0000-0000F9000000}"/>
    <cellStyle name="Milliers 5 2 2 2" xfId="257" xr:uid="{00000000-0005-0000-0000-0000FA000000}"/>
    <cellStyle name="Milliers 5 2 3" xfId="258" xr:uid="{00000000-0005-0000-0000-0000FB000000}"/>
    <cellStyle name="Milliers 5 3" xfId="259" xr:uid="{00000000-0005-0000-0000-0000FC000000}"/>
    <cellStyle name="Milliers 5 3 2" xfId="260" xr:uid="{00000000-0005-0000-0000-0000FD000000}"/>
    <cellStyle name="Milliers 5 4" xfId="261" xr:uid="{00000000-0005-0000-0000-0000FE000000}"/>
    <cellStyle name="Milliers 6" xfId="262" xr:uid="{00000000-0005-0000-0000-0000FF000000}"/>
    <cellStyle name="Milliers 6 2" xfId="263" xr:uid="{00000000-0005-0000-0000-000000010000}"/>
    <cellStyle name="Milliers 6 2 2" xfId="264" xr:uid="{00000000-0005-0000-0000-000001010000}"/>
    <cellStyle name="Milliers 6 2 2 2" xfId="265" xr:uid="{00000000-0005-0000-0000-000002010000}"/>
    <cellStyle name="Milliers 6 2 3" xfId="266" xr:uid="{00000000-0005-0000-0000-000003010000}"/>
    <cellStyle name="Milliers 6 3" xfId="267" xr:uid="{00000000-0005-0000-0000-000004010000}"/>
    <cellStyle name="Milliers 6 3 2" xfId="268" xr:uid="{00000000-0005-0000-0000-000005010000}"/>
    <cellStyle name="Milliers 6 4" xfId="269" xr:uid="{00000000-0005-0000-0000-000006010000}"/>
    <cellStyle name="Milliers 7" xfId="270" xr:uid="{00000000-0005-0000-0000-000007010000}"/>
    <cellStyle name="Milliers 7 2" xfId="271" xr:uid="{00000000-0005-0000-0000-000008010000}"/>
    <cellStyle name="Milliers 7 2 2" xfId="272" xr:uid="{00000000-0005-0000-0000-000009010000}"/>
    <cellStyle name="Milliers 7 3" xfId="273" xr:uid="{00000000-0005-0000-0000-00000A010000}"/>
    <cellStyle name="Milliers 8" xfId="274" xr:uid="{00000000-0005-0000-0000-00000B010000}"/>
    <cellStyle name="Milliers 8 2" xfId="275" xr:uid="{00000000-0005-0000-0000-00000C010000}"/>
    <cellStyle name="Milliers 8 2 2" xfId="276" xr:uid="{00000000-0005-0000-0000-00000D010000}"/>
    <cellStyle name="Milliers 8 3" xfId="277" xr:uid="{00000000-0005-0000-0000-00000E010000}"/>
    <cellStyle name="Milliers 9" xfId="278" xr:uid="{00000000-0005-0000-0000-00000F010000}"/>
    <cellStyle name="Milliers 9 2" xfId="279" xr:uid="{00000000-0005-0000-0000-000010010000}"/>
    <cellStyle name="Milliers 9 2 2" xfId="280" xr:uid="{00000000-0005-0000-0000-000011010000}"/>
    <cellStyle name="Milliers 9 3" xfId="281" xr:uid="{00000000-0005-0000-0000-000012010000}"/>
    <cellStyle name="Monétaire" xfId="1480" builtinId="4"/>
    <cellStyle name="Monétaire 10" xfId="282" xr:uid="{00000000-0005-0000-0000-000014010000}"/>
    <cellStyle name="Monétaire 11" xfId="283" xr:uid="{00000000-0005-0000-0000-000015010000}"/>
    <cellStyle name="Monétaire 12" xfId="284" xr:uid="{00000000-0005-0000-0000-000016010000}"/>
    <cellStyle name="Monétaire 2" xfId="4" xr:uid="{00000000-0005-0000-0000-000017010000}"/>
    <cellStyle name="Monétaire 2 2" xfId="285" xr:uid="{00000000-0005-0000-0000-000018010000}"/>
    <cellStyle name="Monétaire 2 2 2" xfId="286" xr:uid="{00000000-0005-0000-0000-000019010000}"/>
    <cellStyle name="Monétaire 2 2 2 2" xfId="287" xr:uid="{00000000-0005-0000-0000-00001A010000}"/>
    <cellStyle name="Monétaire 2 2 3" xfId="288" xr:uid="{00000000-0005-0000-0000-00001B010000}"/>
    <cellStyle name="Monétaire 2 3" xfId="289" xr:uid="{00000000-0005-0000-0000-00001C010000}"/>
    <cellStyle name="Monétaire 2 3 2" xfId="290" xr:uid="{00000000-0005-0000-0000-00001D010000}"/>
    <cellStyle name="Monétaire 2 4" xfId="291" xr:uid="{00000000-0005-0000-0000-00001E010000}"/>
    <cellStyle name="Monétaire 2 4 2" xfId="292" xr:uid="{00000000-0005-0000-0000-00001F010000}"/>
    <cellStyle name="Monétaire 2 5" xfId="293" xr:uid="{00000000-0005-0000-0000-000020010000}"/>
    <cellStyle name="Monétaire 3" xfId="294" xr:uid="{00000000-0005-0000-0000-000021010000}"/>
    <cellStyle name="Monétaire 3 2" xfId="295" xr:uid="{00000000-0005-0000-0000-000022010000}"/>
    <cellStyle name="Monétaire 3 2 2" xfId="296" xr:uid="{00000000-0005-0000-0000-000023010000}"/>
    <cellStyle name="Monétaire 3 2 2 2" xfId="297" xr:uid="{00000000-0005-0000-0000-000024010000}"/>
    <cellStyle name="Monétaire 3 2 3" xfId="298" xr:uid="{00000000-0005-0000-0000-000025010000}"/>
    <cellStyle name="Monétaire 3 3" xfId="299" xr:uid="{00000000-0005-0000-0000-000026010000}"/>
    <cellStyle name="Monétaire 3 3 2" xfId="300" xr:uid="{00000000-0005-0000-0000-000027010000}"/>
    <cellStyle name="Monétaire 3 4" xfId="301" xr:uid="{00000000-0005-0000-0000-000028010000}"/>
    <cellStyle name="Monétaire 3 4 2" xfId="302" xr:uid="{00000000-0005-0000-0000-000029010000}"/>
    <cellStyle name="Monétaire 3 5" xfId="303" xr:uid="{00000000-0005-0000-0000-00002A010000}"/>
    <cellStyle name="Monétaire 4" xfId="304" xr:uid="{00000000-0005-0000-0000-00002B010000}"/>
    <cellStyle name="Monétaire 4 2" xfId="305" xr:uid="{00000000-0005-0000-0000-00002C010000}"/>
    <cellStyle name="Monétaire 4 2 2" xfId="306" xr:uid="{00000000-0005-0000-0000-00002D010000}"/>
    <cellStyle name="Monétaire 4 2 2 2" xfId="307" xr:uid="{00000000-0005-0000-0000-00002E010000}"/>
    <cellStyle name="Monétaire 4 2 2 2 2" xfId="308" xr:uid="{00000000-0005-0000-0000-00002F010000}"/>
    <cellStyle name="Monétaire 4 2 2 2 2 2" xfId="309" xr:uid="{00000000-0005-0000-0000-000030010000}"/>
    <cellStyle name="Monétaire 4 2 2 2 3" xfId="310" xr:uid="{00000000-0005-0000-0000-000031010000}"/>
    <cellStyle name="Monétaire 4 2 2 3" xfId="311" xr:uid="{00000000-0005-0000-0000-000032010000}"/>
    <cellStyle name="Monétaire 4 2 2 3 2" xfId="312" xr:uid="{00000000-0005-0000-0000-000033010000}"/>
    <cellStyle name="Monétaire 4 2 2 4" xfId="313" xr:uid="{00000000-0005-0000-0000-000034010000}"/>
    <cellStyle name="Monétaire 4 2 3" xfId="314" xr:uid="{00000000-0005-0000-0000-000035010000}"/>
    <cellStyle name="Monétaire 4 2 3 2" xfId="315" xr:uid="{00000000-0005-0000-0000-000036010000}"/>
    <cellStyle name="Monétaire 4 2 3 2 2" xfId="316" xr:uid="{00000000-0005-0000-0000-000037010000}"/>
    <cellStyle name="Monétaire 4 2 3 3" xfId="317" xr:uid="{00000000-0005-0000-0000-000038010000}"/>
    <cellStyle name="Monétaire 4 2 4" xfId="318" xr:uid="{00000000-0005-0000-0000-000039010000}"/>
    <cellStyle name="Monétaire 4 2 4 2" xfId="319" xr:uid="{00000000-0005-0000-0000-00003A010000}"/>
    <cellStyle name="Monétaire 4 2 5" xfId="320" xr:uid="{00000000-0005-0000-0000-00003B010000}"/>
    <cellStyle name="Monétaire 4 3" xfId="321" xr:uid="{00000000-0005-0000-0000-00003C010000}"/>
    <cellStyle name="Monétaire 4 3 2" xfId="322" xr:uid="{00000000-0005-0000-0000-00003D010000}"/>
    <cellStyle name="Monétaire 4 3 2 2" xfId="323" xr:uid="{00000000-0005-0000-0000-00003E010000}"/>
    <cellStyle name="Monétaire 4 3 2 2 2" xfId="324" xr:uid="{00000000-0005-0000-0000-00003F010000}"/>
    <cellStyle name="Monétaire 4 3 2 3" xfId="325" xr:uid="{00000000-0005-0000-0000-000040010000}"/>
    <cellStyle name="Monétaire 4 3 3" xfId="326" xr:uid="{00000000-0005-0000-0000-000041010000}"/>
    <cellStyle name="Monétaire 4 3 3 2" xfId="327" xr:uid="{00000000-0005-0000-0000-000042010000}"/>
    <cellStyle name="Monétaire 4 3 4" xfId="328" xr:uid="{00000000-0005-0000-0000-000043010000}"/>
    <cellStyle name="Monétaire 4 4" xfId="329" xr:uid="{00000000-0005-0000-0000-000044010000}"/>
    <cellStyle name="Monétaire 4 4 2" xfId="330" xr:uid="{00000000-0005-0000-0000-000045010000}"/>
    <cellStyle name="Monétaire 4 4 2 2" xfId="331" xr:uid="{00000000-0005-0000-0000-000046010000}"/>
    <cellStyle name="Monétaire 4 4 3" xfId="332" xr:uid="{00000000-0005-0000-0000-000047010000}"/>
    <cellStyle name="Monétaire 4 5" xfId="333" xr:uid="{00000000-0005-0000-0000-000048010000}"/>
    <cellStyle name="Monétaire 4 5 2" xfId="334" xr:uid="{00000000-0005-0000-0000-000049010000}"/>
    <cellStyle name="Monétaire 4 6" xfId="335" xr:uid="{00000000-0005-0000-0000-00004A010000}"/>
    <cellStyle name="Monétaire 4 6 2" xfId="336" xr:uid="{00000000-0005-0000-0000-00004B010000}"/>
    <cellStyle name="Monétaire 4 7" xfId="337" xr:uid="{00000000-0005-0000-0000-00004C010000}"/>
    <cellStyle name="Monétaire 5" xfId="338" xr:uid="{00000000-0005-0000-0000-00004D010000}"/>
    <cellStyle name="Monétaire 6" xfId="339" xr:uid="{00000000-0005-0000-0000-00004E010000}"/>
    <cellStyle name="Monétaire 7" xfId="340" xr:uid="{00000000-0005-0000-0000-00004F010000}"/>
    <cellStyle name="Monétaire 7 2" xfId="341" xr:uid="{00000000-0005-0000-0000-000050010000}"/>
    <cellStyle name="Monétaire 7 2 2" xfId="342" xr:uid="{00000000-0005-0000-0000-000051010000}"/>
    <cellStyle name="Monétaire 7 2 2 2" xfId="343" xr:uid="{00000000-0005-0000-0000-000052010000}"/>
    <cellStyle name="Monétaire 7 2 3" xfId="344" xr:uid="{00000000-0005-0000-0000-000053010000}"/>
    <cellStyle name="Monétaire 7 3" xfId="345" xr:uid="{00000000-0005-0000-0000-000054010000}"/>
    <cellStyle name="Monétaire 7 3 2" xfId="346" xr:uid="{00000000-0005-0000-0000-000055010000}"/>
    <cellStyle name="Monétaire 7 4" xfId="347" xr:uid="{00000000-0005-0000-0000-000056010000}"/>
    <cellStyle name="Monétaire 8" xfId="348" xr:uid="{00000000-0005-0000-0000-000057010000}"/>
    <cellStyle name="Monétaire 8 2" xfId="349" xr:uid="{00000000-0005-0000-0000-000058010000}"/>
    <cellStyle name="Monétaire 8 2 2" xfId="350" xr:uid="{00000000-0005-0000-0000-000059010000}"/>
    <cellStyle name="Monétaire 8 2 2 2" xfId="351" xr:uid="{00000000-0005-0000-0000-00005A010000}"/>
    <cellStyle name="Monétaire 8 2 3" xfId="352" xr:uid="{00000000-0005-0000-0000-00005B010000}"/>
    <cellStyle name="Monétaire 8 3" xfId="353" xr:uid="{00000000-0005-0000-0000-00005C010000}"/>
    <cellStyle name="Monétaire 8 3 2" xfId="354" xr:uid="{00000000-0005-0000-0000-00005D010000}"/>
    <cellStyle name="Monétaire 8 4" xfId="355" xr:uid="{00000000-0005-0000-0000-00005E010000}"/>
    <cellStyle name="Monétaire 9" xfId="356" xr:uid="{00000000-0005-0000-0000-00005F010000}"/>
    <cellStyle name="Monétaire 9 2" xfId="357" xr:uid="{00000000-0005-0000-0000-000060010000}"/>
    <cellStyle name="Monthly Totals" xfId="1477" xr:uid="{00000000-0005-0000-0000-000061010000}"/>
    <cellStyle name="Neutre 2" xfId="358" xr:uid="{00000000-0005-0000-0000-000062010000}"/>
    <cellStyle name="Neutre 3" xfId="359" xr:uid="{00000000-0005-0000-0000-000063010000}"/>
    <cellStyle name="Neutre 4" xfId="360" xr:uid="{00000000-0005-0000-0000-000064010000}"/>
    <cellStyle name="Neutre 5" xfId="361" xr:uid="{00000000-0005-0000-0000-000065010000}"/>
    <cellStyle name="Normal" xfId="0" builtinId="0"/>
    <cellStyle name="Normal 10" xfId="362" xr:uid="{00000000-0005-0000-0000-000067010000}"/>
    <cellStyle name="Normal 10 2" xfId="363" xr:uid="{00000000-0005-0000-0000-000068010000}"/>
    <cellStyle name="Normal 10 2 2" xfId="364" xr:uid="{00000000-0005-0000-0000-000069010000}"/>
    <cellStyle name="Normal 10 2 2 2" xfId="365" xr:uid="{00000000-0005-0000-0000-00006A010000}"/>
    <cellStyle name="Normal 10 2 2 2 2" xfId="366" xr:uid="{00000000-0005-0000-0000-00006B010000}"/>
    <cellStyle name="Normal 10 2 2 2 2 2" xfId="367" xr:uid="{00000000-0005-0000-0000-00006C010000}"/>
    <cellStyle name="Normal 10 2 2 2 3" xfId="368" xr:uid="{00000000-0005-0000-0000-00006D010000}"/>
    <cellStyle name="Normal 10 2 2 3" xfId="369" xr:uid="{00000000-0005-0000-0000-00006E010000}"/>
    <cellStyle name="Normal 10 2 2 3 2" xfId="370" xr:uid="{00000000-0005-0000-0000-00006F010000}"/>
    <cellStyle name="Normal 10 2 2 4" xfId="371" xr:uid="{00000000-0005-0000-0000-000070010000}"/>
    <cellStyle name="Normal 10 2 3" xfId="372" xr:uid="{00000000-0005-0000-0000-000071010000}"/>
    <cellStyle name="Normal 10 2 3 2" xfId="373" xr:uid="{00000000-0005-0000-0000-000072010000}"/>
    <cellStyle name="Normal 10 2 3 2 2" xfId="374" xr:uid="{00000000-0005-0000-0000-000073010000}"/>
    <cellStyle name="Normal 10 2 3 3" xfId="375" xr:uid="{00000000-0005-0000-0000-000074010000}"/>
    <cellStyle name="Normal 10 2 4" xfId="376" xr:uid="{00000000-0005-0000-0000-000075010000}"/>
    <cellStyle name="Normal 10 2 4 2" xfId="377" xr:uid="{00000000-0005-0000-0000-000076010000}"/>
    <cellStyle name="Normal 10 2 5" xfId="378" xr:uid="{00000000-0005-0000-0000-000077010000}"/>
    <cellStyle name="Normal 10 3" xfId="379" xr:uid="{00000000-0005-0000-0000-000078010000}"/>
    <cellStyle name="Normal 10 3 2" xfId="380" xr:uid="{00000000-0005-0000-0000-000079010000}"/>
    <cellStyle name="Normal 10 3 2 2" xfId="381" xr:uid="{00000000-0005-0000-0000-00007A010000}"/>
    <cellStyle name="Normal 10 3 2 2 2" xfId="382" xr:uid="{00000000-0005-0000-0000-00007B010000}"/>
    <cellStyle name="Normal 10 3 2 3" xfId="383" xr:uid="{00000000-0005-0000-0000-00007C010000}"/>
    <cellStyle name="Normal 10 3 3" xfId="384" xr:uid="{00000000-0005-0000-0000-00007D010000}"/>
    <cellStyle name="Normal 10 3 3 2" xfId="385" xr:uid="{00000000-0005-0000-0000-00007E010000}"/>
    <cellStyle name="Normal 10 3 4" xfId="386" xr:uid="{00000000-0005-0000-0000-00007F010000}"/>
    <cellStyle name="Normal 10 4" xfId="387" xr:uid="{00000000-0005-0000-0000-000080010000}"/>
    <cellStyle name="Normal 10 4 2" xfId="388" xr:uid="{00000000-0005-0000-0000-000081010000}"/>
    <cellStyle name="Normal 10 4 2 2" xfId="389" xr:uid="{00000000-0005-0000-0000-000082010000}"/>
    <cellStyle name="Normal 10 4 3" xfId="390" xr:uid="{00000000-0005-0000-0000-000083010000}"/>
    <cellStyle name="Normal 10 5" xfId="391" xr:uid="{00000000-0005-0000-0000-000084010000}"/>
    <cellStyle name="Normal 10 5 2" xfId="392" xr:uid="{00000000-0005-0000-0000-000085010000}"/>
    <cellStyle name="Normal 10 6" xfId="393" xr:uid="{00000000-0005-0000-0000-000086010000}"/>
    <cellStyle name="Normal 11" xfId="394" xr:uid="{00000000-0005-0000-0000-000087010000}"/>
    <cellStyle name="Normal 11 2" xfId="395" xr:uid="{00000000-0005-0000-0000-000088010000}"/>
    <cellStyle name="Normal 11 2 2" xfId="396" xr:uid="{00000000-0005-0000-0000-000089010000}"/>
    <cellStyle name="Normal 11 2 2 2" xfId="397" xr:uid="{00000000-0005-0000-0000-00008A010000}"/>
    <cellStyle name="Normal 11 2 2 2 2" xfId="398" xr:uid="{00000000-0005-0000-0000-00008B010000}"/>
    <cellStyle name="Normal 11 2 2 2 2 2" xfId="399" xr:uid="{00000000-0005-0000-0000-00008C010000}"/>
    <cellStyle name="Normal 11 2 2 2 3" xfId="400" xr:uid="{00000000-0005-0000-0000-00008D010000}"/>
    <cellStyle name="Normal 11 2 2 3" xfId="401" xr:uid="{00000000-0005-0000-0000-00008E010000}"/>
    <cellStyle name="Normal 11 2 2 3 2" xfId="402" xr:uid="{00000000-0005-0000-0000-00008F010000}"/>
    <cellStyle name="Normal 11 2 2 4" xfId="403" xr:uid="{00000000-0005-0000-0000-000090010000}"/>
    <cellStyle name="Normal 11 2 3" xfId="404" xr:uid="{00000000-0005-0000-0000-000091010000}"/>
    <cellStyle name="Normal 11 2 3 2" xfId="405" xr:uid="{00000000-0005-0000-0000-000092010000}"/>
    <cellStyle name="Normal 11 2 3 2 2" xfId="406" xr:uid="{00000000-0005-0000-0000-000093010000}"/>
    <cellStyle name="Normal 11 2 3 3" xfId="407" xr:uid="{00000000-0005-0000-0000-000094010000}"/>
    <cellStyle name="Normal 11 2 4" xfId="408" xr:uid="{00000000-0005-0000-0000-000095010000}"/>
    <cellStyle name="Normal 11 2 4 2" xfId="409" xr:uid="{00000000-0005-0000-0000-000096010000}"/>
    <cellStyle name="Normal 11 2 5" xfId="410" xr:uid="{00000000-0005-0000-0000-000097010000}"/>
    <cellStyle name="Normal 11 3" xfId="411" xr:uid="{00000000-0005-0000-0000-000098010000}"/>
    <cellStyle name="Normal 11 3 2" xfId="412" xr:uid="{00000000-0005-0000-0000-000099010000}"/>
    <cellStyle name="Normal 11 3 2 2" xfId="413" xr:uid="{00000000-0005-0000-0000-00009A010000}"/>
    <cellStyle name="Normal 11 3 2 2 2" xfId="414" xr:uid="{00000000-0005-0000-0000-00009B010000}"/>
    <cellStyle name="Normal 11 3 2 3" xfId="415" xr:uid="{00000000-0005-0000-0000-00009C010000}"/>
    <cellStyle name="Normal 11 3 3" xfId="416" xr:uid="{00000000-0005-0000-0000-00009D010000}"/>
    <cellStyle name="Normal 11 3 3 2" xfId="417" xr:uid="{00000000-0005-0000-0000-00009E010000}"/>
    <cellStyle name="Normal 11 3 4" xfId="418" xr:uid="{00000000-0005-0000-0000-00009F010000}"/>
    <cellStyle name="Normal 11 4" xfId="419" xr:uid="{00000000-0005-0000-0000-0000A0010000}"/>
    <cellStyle name="Normal 11 4 2" xfId="420" xr:uid="{00000000-0005-0000-0000-0000A1010000}"/>
    <cellStyle name="Normal 11 4 2 2" xfId="421" xr:uid="{00000000-0005-0000-0000-0000A2010000}"/>
    <cellStyle name="Normal 11 4 3" xfId="422" xr:uid="{00000000-0005-0000-0000-0000A3010000}"/>
    <cellStyle name="Normal 11 5" xfId="423" xr:uid="{00000000-0005-0000-0000-0000A4010000}"/>
    <cellStyle name="Normal 11 5 2" xfId="424" xr:uid="{00000000-0005-0000-0000-0000A5010000}"/>
    <cellStyle name="Normal 11 6" xfId="425" xr:uid="{00000000-0005-0000-0000-0000A6010000}"/>
    <cellStyle name="Normal 12" xfId="426" xr:uid="{00000000-0005-0000-0000-0000A7010000}"/>
    <cellStyle name="Normal 12 2" xfId="427" xr:uid="{00000000-0005-0000-0000-0000A8010000}"/>
    <cellStyle name="Normal 12 2 2" xfId="428" xr:uid="{00000000-0005-0000-0000-0000A9010000}"/>
    <cellStyle name="Normal 12 2 2 2" xfId="429" xr:uid="{00000000-0005-0000-0000-0000AA010000}"/>
    <cellStyle name="Normal 12 2 2 2 2" xfId="430" xr:uid="{00000000-0005-0000-0000-0000AB010000}"/>
    <cellStyle name="Normal 12 2 2 2 2 2" xfId="431" xr:uid="{00000000-0005-0000-0000-0000AC010000}"/>
    <cellStyle name="Normal 12 2 2 2 3" xfId="432" xr:uid="{00000000-0005-0000-0000-0000AD010000}"/>
    <cellStyle name="Normal 12 2 2 3" xfId="433" xr:uid="{00000000-0005-0000-0000-0000AE010000}"/>
    <cellStyle name="Normal 12 2 2 3 2" xfId="434" xr:uid="{00000000-0005-0000-0000-0000AF010000}"/>
    <cellStyle name="Normal 12 2 2 4" xfId="435" xr:uid="{00000000-0005-0000-0000-0000B0010000}"/>
    <cellStyle name="Normal 12 2 3" xfId="436" xr:uid="{00000000-0005-0000-0000-0000B1010000}"/>
    <cellStyle name="Normal 12 2 3 2" xfId="437" xr:uid="{00000000-0005-0000-0000-0000B2010000}"/>
    <cellStyle name="Normal 12 2 3 2 2" xfId="438" xr:uid="{00000000-0005-0000-0000-0000B3010000}"/>
    <cellStyle name="Normal 12 2 3 3" xfId="439" xr:uid="{00000000-0005-0000-0000-0000B4010000}"/>
    <cellStyle name="Normal 12 2 4" xfId="440" xr:uid="{00000000-0005-0000-0000-0000B5010000}"/>
    <cellStyle name="Normal 12 2 4 2" xfId="441" xr:uid="{00000000-0005-0000-0000-0000B6010000}"/>
    <cellStyle name="Normal 12 2 5" xfId="442" xr:uid="{00000000-0005-0000-0000-0000B7010000}"/>
    <cellStyle name="Normal 12 3" xfId="443" xr:uid="{00000000-0005-0000-0000-0000B8010000}"/>
    <cellStyle name="Normal 12 3 2" xfId="444" xr:uid="{00000000-0005-0000-0000-0000B9010000}"/>
    <cellStyle name="Normal 12 3 2 2" xfId="445" xr:uid="{00000000-0005-0000-0000-0000BA010000}"/>
    <cellStyle name="Normal 12 3 2 2 2" xfId="446" xr:uid="{00000000-0005-0000-0000-0000BB010000}"/>
    <cellStyle name="Normal 12 3 2 3" xfId="447" xr:uid="{00000000-0005-0000-0000-0000BC010000}"/>
    <cellStyle name="Normal 12 3 3" xfId="448" xr:uid="{00000000-0005-0000-0000-0000BD010000}"/>
    <cellStyle name="Normal 12 3 3 2" xfId="449" xr:uid="{00000000-0005-0000-0000-0000BE010000}"/>
    <cellStyle name="Normal 12 3 4" xfId="450" xr:uid="{00000000-0005-0000-0000-0000BF010000}"/>
    <cellStyle name="Normal 12 4" xfId="451" xr:uid="{00000000-0005-0000-0000-0000C0010000}"/>
    <cellStyle name="Normal 12 4 2" xfId="452" xr:uid="{00000000-0005-0000-0000-0000C1010000}"/>
    <cellStyle name="Normal 12 4 2 2" xfId="453" xr:uid="{00000000-0005-0000-0000-0000C2010000}"/>
    <cellStyle name="Normal 12 4 3" xfId="454" xr:uid="{00000000-0005-0000-0000-0000C3010000}"/>
    <cellStyle name="Normal 12 5" xfId="455" xr:uid="{00000000-0005-0000-0000-0000C4010000}"/>
    <cellStyle name="Normal 12 5 2" xfId="456" xr:uid="{00000000-0005-0000-0000-0000C5010000}"/>
    <cellStyle name="Normal 12 6" xfId="457" xr:uid="{00000000-0005-0000-0000-0000C6010000}"/>
    <cellStyle name="Normal 12 7" xfId="1473" xr:uid="{00000000-0005-0000-0000-0000C7010000}"/>
    <cellStyle name="Normal 13" xfId="458" xr:uid="{00000000-0005-0000-0000-0000C8010000}"/>
    <cellStyle name="Normal 13 2" xfId="459" xr:uid="{00000000-0005-0000-0000-0000C9010000}"/>
    <cellStyle name="Normal 13 2 2" xfId="460" xr:uid="{00000000-0005-0000-0000-0000CA010000}"/>
    <cellStyle name="Normal 13 2 2 2" xfId="461" xr:uid="{00000000-0005-0000-0000-0000CB010000}"/>
    <cellStyle name="Normal 13 2 2 2 2" xfId="462" xr:uid="{00000000-0005-0000-0000-0000CC010000}"/>
    <cellStyle name="Normal 13 2 2 2 2 2" xfId="463" xr:uid="{00000000-0005-0000-0000-0000CD010000}"/>
    <cellStyle name="Normal 13 2 2 2 3" xfId="464" xr:uid="{00000000-0005-0000-0000-0000CE010000}"/>
    <cellStyle name="Normal 13 2 2 3" xfId="465" xr:uid="{00000000-0005-0000-0000-0000CF010000}"/>
    <cellStyle name="Normal 13 2 2 3 2" xfId="466" xr:uid="{00000000-0005-0000-0000-0000D0010000}"/>
    <cellStyle name="Normal 13 2 2 4" xfId="467" xr:uid="{00000000-0005-0000-0000-0000D1010000}"/>
    <cellStyle name="Normal 13 2 3" xfId="468" xr:uid="{00000000-0005-0000-0000-0000D2010000}"/>
    <cellStyle name="Normal 13 2 3 2" xfId="469" xr:uid="{00000000-0005-0000-0000-0000D3010000}"/>
    <cellStyle name="Normal 13 2 3 2 2" xfId="470" xr:uid="{00000000-0005-0000-0000-0000D4010000}"/>
    <cellStyle name="Normal 13 2 3 3" xfId="471" xr:uid="{00000000-0005-0000-0000-0000D5010000}"/>
    <cellStyle name="Normal 13 2 4" xfId="472" xr:uid="{00000000-0005-0000-0000-0000D6010000}"/>
    <cellStyle name="Normal 13 2 4 2" xfId="473" xr:uid="{00000000-0005-0000-0000-0000D7010000}"/>
    <cellStyle name="Normal 13 2 5" xfId="474" xr:uid="{00000000-0005-0000-0000-0000D8010000}"/>
    <cellStyle name="Normal 13 3" xfId="475" xr:uid="{00000000-0005-0000-0000-0000D9010000}"/>
    <cellStyle name="Normal 13 3 2" xfId="476" xr:uid="{00000000-0005-0000-0000-0000DA010000}"/>
    <cellStyle name="Normal 13 3 2 2" xfId="477" xr:uid="{00000000-0005-0000-0000-0000DB010000}"/>
    <cellStyle name="Normal 13 3 2 2 2" xfId="478" xr:uid="{00000000-0005-0000-0000-0000DC010000}"/>
    <cellStyle name="Normal 13 3 2 3" xfId="479" xr:uid="{00000000-0005-0000-0000-0000DD010000}"/>
    <cellStyle name="Normal 13 3 3" xfId="480" xr:uid="{00000000-0005-0000-0000-0000DE010000}"/>
    <cellStyle name="Normal 13 3 3 2" xfId="481" xr:uid="{00000000-0005-0000-0000-0000DF010000}"/>
    <cellStyle name="Normal 13 3 4" xfId="482" xr:uid="{00000000-0005-0000-0000-0000E0010000}"/>
    <cellStyle name="Normal 13 4" xfId="483" xr:uid="{00000000-0005-0000-0000-0000E1010000}"/>
    <cellStyle name="Normal 13 4 2" xfId="484" xr:uid="{00000000-0005-0000-0000-0000E2010000}"/>
    <cellStyle name="Normal 13 4 2 2" xfId="485" xr:uid="{00000000-0005-0000-0000-0000E3010000}"/>
    <cellStyle name="Normal 13 4 3" xfId="486" xr:uid="{00000000-0005-0000-0000-0000E4010000}"/>
    <cellStyle name="Normal 13 5" xfId="487" xr:uid="{00000000-0005-0000-0000-0000E5010000}"/>
    <cellStyle name="Normal 13 5 2" xfId="488" xr:uid="{00000000-0005-0000-0000-0000E6010000}"/>
    <cellStyle name="Normal 13 6" xfId="489" xr:uid="{00000000-0005-0000-0000-0000E7010000}"/>
    <cellStyle name="Normal 14" xfId="490" xr:uid="{00000000-0005-0000-0000-0000E8010000}"/>
    <cellStyle name="Normal 14 2" xfId="491" xr:uid="{00000000-0005-0000-0000-0000E9010000}"/>
    <cellStyle name="Normal 14 2 2" xfId="492" xr:uid="{00000000-0005-0000-0000-0000EA010000}"/>
    <cellStyle name="Normal 14 2 2 2" xfId="493" xr:uid="{00000000-0005-0000-0000-0000EB010000}"/>
    <cellStyle name="Normal 14 2 2 2 2" xfId="494" xr:uid="{00000000-0005-0000-0000-0000EC010000}"/>
    <cellStyle name="Normal 14 2 2 2 2 2" xfId="495" xr:uid="{00000000-0005-0000-0000-0000ED010000}"/>
    <cellStyle name="Normal 14 2 2 2 3" xfId="496" xr:uid="{00000000-0005-0000-0000-0000EE010000}"/>
    <cellStyle name="Normal 14 2 2 3" xfId="497" xr:uid="{00000000-0005-0000-0000-0000EF010000}"/>
    <cellStyle name="Normal 14 2 2 3 2" xfId="498" xr:uid="{00000000-0005-0000-0000-0000F0010000}"/>
    <cellStyle name="Normal 14 2 2 4" xfId="499" xr:uid="{00000000-0005-0000-0000-0000F1010000}"/>
    <cellStyle name="Normal 14 2 3" xfId="500" xr:uid="{00000000-0005-0000-0000-0000F2010000}"/>
    <cellStyle name="Normal 14 2 3 2" xfId="501" xr:uid="{00000000-0005-0000-0000-0000F3010000}"/>
    <cellStyle name="Normal 14 2 3 2 2" xfId="502" xr:uid="{00000000-0005-0000-0000-0000F4010000}"/>
    <cellStyle name="Normal 14 2 3 3" xfId="503" xr:uid="{00000000-0005-0000-0000-0000F5010000}"/>
    <cellStyle name="Normal 14 2 4" xfId="504" xr:uid="{00000000-0005-0000-0000-0000F6010000}"/>
    <cellStyle name="Normal 14 2 4 2" xfId="505" xr:uid="{00000000-0005-0000-0000-0000F7010000}"/>
    <cellStyle name="Normal 14 2 5" xfId="506" xr:uid="{00000000-0005-0000-0000-0000F8010000}"/>
    <cellStyle name="Normal 14 3" xfId="507" xr:uid="{00000000-0005-0000-0000-0000F9010000}"/>
    <cellStyle name="Normal 14 3 2" xfId="508" xr:uid="{00000000-0005-0000-0000-0000FA010000}"/>
    <cellStyle name="Normal 14 3 2 2" xfId="509" xr:uid="{00000000-0005-0000-0000-0000FB010000}"/>
    <cellStyle name="Normal 14 3 2 2 2" xfId="510" xr:uid="{00000000-0005-0000-0000-0000FC010000}"/>
    <cellStyle name="Normal 14 3 2 3" xfId="511" xr:uid="{00000000-0005-0000-0000-0000FD010000}"/>
    <cellStyle name="Normal 14 3 3" xfId="512" xr:uid="{00000000-0005-0000-0000-0000FE010000}"/>
    <cellStyle name="Normal 14 3 3 2" xfId="513" xr:uid="{00000000-0005-0000-0000-0000FF010000}"/>
    <cellStyle name="Normal 14 3 4" xfId="514" xr:uid="{00000000-0005-0000-0000-000000020000}"/>
    <cellStyle name="Normal 14 4" xfId="515" xr:uid="{00000000-0005-0000-0000-000001020000}"/>
    <cellStyle name="Normal 14 4 2" xfId="516" xr:uid="{00000000-0005-0000-0000-000002020000}"/>
    <cellStyle name="Normal 14 4 2 2" xfId="517" xr:uid="{00000000-0005-0000-0000-000003020000}"/>
    <cellStyle name="Normal 14 4 3" xfId="518" xr:uid="{00000000-0005-0000-0000-000004020000}"/>
    <cellStyle name="Normal 14 5" xfId="519" xr:uid="{00000000-0005-0000-0000-000005020000}"/>
    <cellStyle name="Normal 14 5 2" xfId="520" xr:uid="{00000000-0005-0000-0000-000006020000}"/>
    <cellStyle name="Normal 14 6" xfId="521" xr:uid="{00000000-0005-0000-0000-000007020000}"/>
    <cellStyle name="Normal 15" xfId="522" xr:uid="{00000000-0005-0000-0000-000008020000}"/>
    <cellStyle name="Normal 15 2" xfId="523" xr:uid="{00000000-0005-0000-0000-000009020000}"/>
    <cellStyle name="Normal 15 2 2" xfId="524" xr:uid="{00000000-0005-0000-0000-00000A020000}"/>
    <cellStyle name="Normal 15 2 2 2" xfId="525" xr:uid="{00000000-0005-0000-0000-00000B020000}"/>
    <cellStyle name="Normal 15 2 2 2 2" xfId="526" xr:uid="{00000000-0005-0000-0000-00000C020000}"/>
    <cellStyle name="Normal 15 2 2 2 2 2" xfId="527" xr:uid="{00000000-0005-0000-0000-00000D020000}"/>
    <cellStyle name="Normal 15 2 2 2 3" xfId="528" xr:uid="{00000000-0005-0000-0000-00000E020000}"/>
    <cellStyle name="Normal 15 2 2 3" xfId="529" xr:uid="{00000000-0005-0000-0000-00000F020000}"/>
    <cellStyle name="Normal 15 2 2 3 2" xfId="530" xr:uid="{00000000-0005-0000-0000-000010020000}"/>
    <cellStyle name="Normal 15 2 2 4" xfId="531" xr:uid="{00000000-0005-0000-0000-000011020000}"/>
    <cellStyle name="Normal 15 2 3" xfId="532" xr:uid="{00000000-0005-0000-0000-000012020000}"/>
    <cellStyle name="Normal 15 2 3 2" xfId="533" xr:uid="{00000000-0005-0000-0000-000013020000}"/>
    <cellStyle name="Normal 15 2 3 2 2" xfId="534" xr:uid="{00000000-0005-0000-0000-000014020000}"/>
    <cellStyle name="Normal 15 2 3 3" xfId="535" xr:uid="{00000000-0005-0000-0000-000015020000}"/>
    <cellStyle name="Normal 15 2 4" xfId="536" xr:uid="{00000000-0005-0000-0000-000016020000}"/>
    <cellStyle name="Normal 15 2 4 2" xfId="537" xr:uid="{00000000-0005-0000-0000-000017020000}"/>
    <cellStyle name="Normal 15 2 5" xfId="538" xr:uid="{00000000-0005-0000-0000-000018020000}"/>
    <cellStyle name="Normal 15 3" xfId="539" xr:uid="{00000000-0005-0000-0000-000019020000}"/>
    <cellStyle name="Normal 15 3 2" xfId="540" xr:uid="{00000000-0005-0000-0000-00001A020000}"/>
    <cellStyle name="Normal 15 3 2 2" xfId="541" xr:uid="{00000000-0005-0000-0000-00001B020000}"/>
    <cellStyle name="Normal 15 3 2 2 2" xfId="542" xr:uid="{00000000-0005-0000-0000-00001C020000}"/>
    <cellStyle name="Normal 15 3 2 3" xfId="543" xr:uid="{00000000-0005-0000-0000-00001D020000}"/>
    <cellStyle name="Normal 15 3 3" xfId="544" xr:uid="{00000000-0005-0000-0000-00001E020000}"/>
    <cellStyle name="Normal 15 3 3 2" xfId="545" xr:uid="{00000000-0005-0000-0000-00001F020000}"/>
    <cellStyle name="Normal 15 3 4" xfId="546" xr:uid="{00000000-0005-0000-0000-000020020000}"/>
    <cellStyle name="Normal 15 4" xfId="547" xr:uid="{00000000-0005-0000-0000-000021020000}"/>
    <cellStyle name="Normal 15 4 2" xfId="548" xr:uid="{00000000-0005-0000-0000-000022020000}"/>
    <cellStyle name="Normal 15 4 2 2" xfId="549" xr:uid="{00000000-0005-0000-0000-000023020000}"/>
    <cellStyle name="Normal 15 4 3" xfId="550" xr:uid="{00000000-0005-0000-0000-000024020000}"/>
    <cellStyle name="Normal 15 5" xfId="551" xr:uid="{00000000-0005-0000-0000-000025020000}"/>
    <cellStyle name="Normal 15 5 2" xfId="552" xr:uid="{00000000-0005-0000-0000-000026020000}"/>
    <cellStyle name="Normal 15 6" xfId="553" xr:uid="{00000000-0005-0000-0000-000027020000}"/>
    <cellStyle name="Normal 16" xfId="554" xr:uid="{00000000-0005-0000-0000-000028020000}"/>
    <cellStyle name="Normal 16 2" xfId="555" xr:uid="{00000000-0005-0000-0000-000029020000}"/>
    <cellStyle name="Normal 16 2 2" xfId="556" xr:uid="{00000000-0005-0000-0000-00002A020000}"/>
    <cellStyle name="Normal 16 2 2 2" xfId="557" xr:uid="{00000000-0005-0000-0000-00002B020000}"/>
    <cellStyle name="Normal 16 2 2 2 2" xfId="558" xr:uid="{00000000-0005-0000-0000-00002C020000}"/>
    <cellStyle name="Normal 16 2 2 2 2 2" xfId="559" xr:uid="{00000000-0005-0000-0000-00002D020000}"/>
    <cellStyle name="Normal 16 2 2 2 3" xfId="560" xr:uid="{00000000-0005-0000-0000-00002E020000}"/>
    <cellStyle name="Normal 16 2 2 3" xfId="561" xr:uid="{00000000-0005-0000-0000-00002F020000}"/>
    <cellStyle name="Normal 16 2 2 3 2" xfId="562" xr:uid="{00000000-0005-0000-0000-000030020000}"/>
    <cellStyle name="Normal 16 2 2 4" xfId="563" xr:uid="{00000000-0005-0000-0000-000031020000}"/>
    <cellStyle name="Normal 16 2 3" xfId="564" xr:uid="{00000000-0005-0000-0000-000032020000}"/>
    <cellStyle name="Normal 16 2 3 2" xfId="565" xr:uid="{00000000-0005-0000-0000-000033020000}"/>
    <cellStyle name="Normal 16 2 3 2 2" xfId="566" xr:uid="{00000000-0005-0000-0000-000034020000}"/>
    <cellStyle name="Normal 16 2 3 3" xfId="567" xr:uid="{00000000-0005-0000-0000-000035020000}"/>
    <cellStyle name="Normal 16 2 4" xfId="568" xr:uid="{00000000-0005-0000-0000-000036020000}"/>
    <cellStyle name="Normal 16 2 4 2" xfId="569" xr:uid="{00000000-0005-0000-0000-000037020000}"/>
    <cellStyle name="Normal 16 2 5" xfId="570" xr:uid="{00000000-0005-0000-0000-000038020000}"/>
    <cellStyle name="Normal 16 3" xfId="571" xr:uid="{00000000-0005-0000-0000-000039020000}"/>
    <cellStyle name="Normal 16 3 2" xfId="572" xr:uid="{00000000-0005-0000-0000-00003A020000}"/>
    <cellStyle name="Normal 16 3 2 2" xfId="573" xr:uid="{00000000-0005-0000-0000-00003B020000}"/>
    <cellStyle name="Normal 16 3 2 2 2" xfId="574" xr:uid="{00000000-0005-0000-0000-00003C020000}"/>
    <cellStyle name="Normal 16 3 2 3" xfId="575" xr:uid="{00000000-0005-0000-0000-00003D020000}"/>
    <cellStyle name="Normal 16 3 3" xfId="576" xr:uid="{00000000-0005-0000-0000-00003E020000}"/>
    <cellStyle name="Normal 16 3 3 2" xfId="577" xr:uid="{00000000-0005-0000-0000-00003F020000}"/>
    <cellStyle name="Normal 16 3 4" xfId="578" xr:uid="{00000000-0005-0000-0000-000040020000}"/>
    <cellStyle name="Normal 16 4" xfId="579" xr:uid="{00000000-0005-0000-0000-000041020000}"/>
    <cellStyle name="Normal 16 4 2" xfId="580" xr:uid="{00000000-0005-0000-0000-000042020000}"/>
    <cellStyle name="Normal 16 4 2 2" xfId="581" xr:uid="{00000000-0005-0000-0000-000043020000}"/>
    <cellStyle name="Normal 16 4 3" xfId="582" xr:uid="{00000000-0005-0000-0000-000044020000}"/>
    <cellStyle name="Normal 16 5" xfId="583" xr:uid="{00000000-0005-0000-0000-000045020000}"/>
    <cellStyle name="Normal 16 5 2" xfId="584" xr:uid="{00000000-0005-0000-0000-000046020000}"/>
    <cellStyle name="Normal 16 6" xfId="585" xr:uid="{00000000-0005-0000-0000-000047020000}"/>
    <cellStyle name="Normal 17" xfId="586" xr:uid="{00000000-0005-0000-0000-000048020000}"/>
    <cellStyle name="Normal 17 2" xfId="587" xr:uid="{00000000-0005-0000-0000-000049020000}"/>
    <cellStyle name="Normal 17 2 2" xfId="588" xr:uid="{00000000-0005-0000-0000-00004A020000}"/>
    <cellStyle name="Normal 17 2 2 2" xfId="589" xr:uid="{00000000-0005-0000-0000-00004B020000}"/>
    <cellStyle name="Normal 17 2 2 2 2" xfId="590" xr:uid="{00000000-0005-0000-0000-00004C020000}"/>
    <cellStyle name="Normal 17 2 2 2 2 2" xfId="591" xr:uid="{00000000-0005-0000-0000-00004D020000}"/>
    <cellStyle name="Normal 17 2 2 2 3" xfId="592" xr:uid="{00000000-0005-0000-0000-00004E020000}"/>
    <cellStyle name="Normal 17 2 2 3" xfId="593" xr:uid="{00000000-0005-0000-0000-00004F020000}"/>
    <cellStyle name="Normal 17 2 2 3 2" xfId="594" xr:uid="{00000000-0005-0000-0000-000050020000}"/>
    <cellStyle name="Normal 17 2 2 4" xfId="595" xr:uid="{00000000-0005-0000-0000-000051020000}"/>
    <cellStyle name="Normal 17 2 3" xfId="596" xr:uid="{00000000-0005-0000-0000-000052020000}"/>
    <cellStyle name="Normal 17 2 3 2" xfId="597" xr:uid="{00000000-0005-0000-0000-000053020000}"/>
    <cellStyle name="Normal 17 2 3 2 2" xfId="598" xr:uid="{00000000-0005-0000-0000-000054020000}"/>
    <cellStyle name="Normal 17 2 3 3" xfId="599" xr:uid="{00000000-0005-0000-0000-000055020000}"/>
    <cellStyle name="Normal 17 2 4" xfId="600" xr:uid="{00000000-0005-0000-0000-000056020000}"/>
    <cellStyle name="Normal 17 2 4 2" xfId="601" xr:uid="{00000000-0005-0000-0000-000057020000}"/>
    <cellStyle name="Normal 17 2 5" xfId="602" xr:uid="{00000000-0005-0000-0000-000058020000}"/>
    <cellStyle name="Normal 17 3" xfId="603" xr:uid="{00000000-0005-0000-0000-000059020000}"/>
    <cellStyle name="Normal 17 3 2" xfId="604" xr:uid="{00000000-0005-0000-0000-00005A020000}"/>
    <cellStyle name="Normal 17 3 2 2" xfId="605" xr:uid="{00000000-0005-0000-0000-00005B020000}"/>
    <cellStyle name="Normal 17 3 2 2 2" xfId="606" xr:uid="{00000000-0005-0000-0000-00005C020000}"/>
    <cellStyle name="Normal 17 3 2 3" xfId="607" xr:uid="{00000000-0005-0000-0000-00005D020000}"/>
    <cellStyle name="Normal 17 3 3" xfId="608" xr:uid="{00000000-0005-0000-0000-00005E020000}"/>
    <cellStyle name="Normal 17 3 3 2" xfId="609" xr:uid="{00000000-0005-0000-0000-00005F020000}"/>
    <cellStyle name="Normal 17 3 4" xfId="610" xr:uid="{00000000-0005-0000-0000-000060020000}"/>
    <cellStyle name="Normal 17 4" xfId="2" xr:uid="{00000000-0005-0000-0000-000061020000}"/>
    <cellStyle name="Normal 17 4 2" xfId="611" xr:uid="{00000000-0005-0000-0000-000062020000}"/>
    <cellStyle name="Normal 17 4 2 2" xfId="612" xr:uid="{00000000-0005-0000-0000-000063020000}"/>
    <cellStyle name="Normal 17 4 2 2 2" xfId="613" xr:uid="{00000000-0005-0000-0000-000064020000}"/>
    <cellStyle name="Normal 17 4 2 3" xfId="614" xr:uid="{00000000-0005-0000-0000-000065020000}"/>
    <cellStyle name="Normal 17 4 3" xfId="615" xr:uid="{00000000-0005-0000-0000-000066020000}"/>
    <cellStyle name="Normal 17 4 3 2" xfId="616" xr:uid="{00000000-0005-0000-0000-000067020000}"/>
    <cellStyle name="Normal 17 4 4" xfId="617" xr:uid="{00000000-0005-0000-0000-000068020000}"/>
    <cellStyle name="Normal 17 5" xfId="618" xr:uid="{00000000-0005-0000-0000-000069020000}"/>
    <cellStyle name="Normal 17 5 2" xfId="619" xr:uid="{00000000-0005-0000-0000-00006A020000}"/>
    <cellStyle name="Normal 17 5 2 2" xfId="620" xr:uid="{00000000-0005-0000-0000-00006B020000}"/>
    <cellStyle name="Normal 17 5 3" xfId="621" xr:uid="{00000000-0005-0000-0000-00006C020000}"/>
    <cellStyle name="Normal 17 6" xfId="622" xr:uid="{00000000-0005-0000-0000-00006D020000}"/>
    <cellStyle name="Normal 17 6 2" xfId="623" xr:uid="{00000000-0005-0000-0000-00006E020000}"/>
    <cellStyle name="Normal 17 7" xfId="624" xr:uid="{00000000-0005-0000-0000-00006F020000}"/>
    <cellStyle name="Normal 18" xfId="625" xr:uid="{00000000-0005-0000-0000-000070020000}"/>
    <cellStyle name="Normal 18 2" xfId="626" xr:uid="{00000000-0005-0000-0000-000071020000}"/>
    <cellStyle name="Normal 18 2 2" xfId="627" xr:uid="{00000000-0005-0000-0000-000072020000}"/>
    <cellStyle name="Normal 18 2 2 2" xfId="628" xr:uid="{00000000-0005-0000-0000-000073020000}"/>
    <cellStyle name="Normal 18 2 2 2 2" xfId="629" xr:uid="{00000000-0005-0000-0000-000074020000}"/>
    <cellStyle name="Normal 18 2 2 2 2 2" xfId="630" xr:uid="{00000000-0005-0000-0000-000075020000}"/>
    <cellStyle name="Normal 18 2 2 2 3" xfId="631" xr:uid="{00000000-0005-0000-0000-000076020000}"/>
    <cellStyle name="Normal 18 2 2 3" xfId="632" xr:uid="{00000000-0005-0000-0000-000077020000}"/>
    <cellStyle name="Normal 18 2 2 3 2" xfId="633" xr:uid="{00000000-0005-0000-0000-000078020000}"/>
    <cellStyle name="Normal 18 2 2 4" xfId="634" xr:uid="{00000000-0005-0000-0000-000079020000}"/>
    <cellStyle name="Normal 18 2 3" xfId="635" xr:uid="{00000000-0005-0000-0000-00007A020000}"/>
    <cellStyle name="Normal 18 2 3 2" xfId="636" xr:uid="{00000000-0005-0000-0000-00007B020000}"/>
    <cellStyle name="Normal 18 2 3 2 2" xfId="637" xr:uid="{00000000-0005-0000-0000-00007C020000}"/>
    <cellStyle name="Normal 18 2 3 3" xfId="638" xr:uid="{00000000-0005-0000-0000-00007D020000}"/>
    <cellStyle name="Normal 18 2 4" xfId="639" xr:uid="{00000000-0005-0000-0000-00007E020000}"/>
    <cellStyle name="Normal 18 2 4 2" xfId="640" xr:uid="{00000000-0005-0000-0000-00007F020000}"/>
    <cellStyle name="Normal 18 2 5" xfId="641" xr:uid="{00000000-0005-0000-0000-000080020000}"/>
    <cellStyle name="Normal 18 3" xfId="642" xr:uid="{00000000-0005-0000-0000-000081020000}"/>
    <cellStyle name="Normal 18 3 2" xfId="643" xr:uid="{00000000-0005-0000-0000-000082020000}"/>
    <cellStyle name="Normal 18 3 2 2" xfId="644" xr:uid="{00000000-0005-0000-0000-000083020000}"/>
    <cellStyle name="Normal 18 3 2 2 2" xfId="645" xr:uid="{00000000-0005-0000-0000-000084020000}"/>
    <cellStyle name="Normal 18 3 2 3" xfId="646" xr:uid="{00000000-0005-0000-0000-000085020000}"/>
    <cellStyle name="Normal 18 3 3" xfId="647" xr:uid="{00000000-0005-0000-0000-000086020000}"/>
    <cellStyle name="Normal 18 3 3 2" xfId="648" xr:uid="{00000000-0005-0000-0000-000087020000}"/>
    <cellStyle name="Normal 18 3 4" xfId="649" xr:uid="{00000000-0005-0000-0000-000088020000}"/>
    <cellStyle name="Normal 18 4" xfId="650" xr:uid="{00000000-0005-0000-0000-000089020000}"/>
    <cellStyle name="Normal 18 4 2" xfId="651" xr:uid="{00000000-0005-0000-0000-00008A020000}"/>
    <cellStyle name="Normal 18 4 2 2" xfId="652" xr:uid="{00000000-0005-0000-0000-00008B020000}"/>
    <cellStyle name="Normal 18 4 3" xfId="653" xr:uid="{00000000-0005-0000-0000-00008C020000}"/>
    <cellStyle name="Normal 18 5" xfId="654" xr:uid="{00000000-0005-0000-0000-00008D020000}"/>
    <cellStyle name="Normal 18 5 2" xfId="655" xr:uid="{00000000-0005-0000-0000-00008E020000}"/>
    <cellStyle name="Normal 18 6" xfId="656" xr:uid="{00000000-0005-0000-0000-00008F020000}"/>
    <cellStyle name="Normal 19" xfId="657" xr:uid="{00000000-0005-0000-0000-000090020000}"/>
    <cellStyle name="Normal 19 2" xfId="658" xr:uid="{00000000-0005-0000-0000-000091020000}"/>
    <cellStyle name="Normal 19 2 2" xfId="659" xr:uid="{00000000-0005-0000-0000-000092020000}"/>
    <cellStyle name="Normal 19 2 2 2" xfId="660" xr:uid="{00000000-0005-0000-0000-000093020000}"/>
    <cellStyle name="Normal 19 2 2 2 2" xfId="661" xr:uid="{00000000-0005-0000-0000-000094020000}"/>
    <cellStyle name="Normal 19 2 2 2 2 2" xfId="662" xr:uid="{00000000-0005-0000-0000-000095020000}"/>
    <cellStyle name="Normal 19 2 2 2 3" xfId="663" xr:uid="{00000000-0005-0000-0000-000096020000}"/>
    <cellStyle name="Normal 19 2 2 3" xfId="664" xr:uid="{00000000-0005-0000-0000-000097020000}"/>
    <cellStyle name="Normal 19 2 2 3 2" xfId="665" xr:uid="{00000000-0005-0000-0000-000098020000}"/>
    <cellStyle name="Normal 19 2 2 4" xfId="666" xr:uid="{00000000-0005-0000-0000-000099020000}"/>
    <cellStyle name="Normal 19 2 3" xfId="667" xr:uid="{00000000-0005-0000-0000-00009A020000}"/>
    <cellStyle name="Normal 19 2 3 2" xfId="668" xr:uid="{00000000-0005-0000-0000-00009B020000}"/>
    <cellStyle name="Normal 19 2 3 2 2" xfId="669" xr:uid="{00000000-0005-0000-0000-00009C020000}"/>
    <cellStyle name="Normal 19 2 3 3" xfId="670" xr:uid="{00000000-0005-0000-0000-00009D020000}"/>
    <cellStyle name="Normal 19 2 4" xfId="671" xr:uid="{00000000-0005-0000-0000-00009E020000}"/>
    <cellStyle name="Normal 19 2 4 2" xfId="672" xr:uid="{00000000-0005-0000-0000-00009F020000}"/>
    <cellStyle name="Normal 19 2 5" xfId="673" xr:uid="{00000000-0005-0000-0000-0000A0020000}"/>
    <cellStyle name="Normal 19 3" xfId="674" xr:uid="{00000000-0005-0000-0000-0000A1020000}"/>
    <cellStyle name="Normal 19 3 2" xfId="675" xr:uid="{00000000-0005-0000-0000-0000A2020000}"/>
    <cellStyle name="Normal 19 3 2 2" xfId="676" xr:uid="{00000000-0005-0000-0000-0000A3020000}"/>
    <cellStyle name="Normal 19 3 2 2 2" xfId="677" xr:uid="{00000000-0005-0000-0000-0000A4020000}"/>
    <cellStyle name="Normal 19 3 2 3" xfId="678" xr:uid="{00000000-0005-0000-0000-0000A5020000}"/>
    <cellStyle name="Normal 19 3 3" xfId="679" xr:uid="{00000000-0005-0000-0000-0000A6020000}"/>
    <cellStyle name="Normal 19 3 3 2" xfId="680" xr:uid="{00000000-0005-0000-0000-0000A7020000}"/>
    <cellStyle name="Normal 19 3 4" xfId="681" xr:uid="{00000000-0005-0000-0000-0000A8020000}"/>
    <cellStyle name="Normal 19 4" xfId="682" xr:uid="{00000000-0005-0000-0000-0000A9020000}"/>
    <cellStyle name="Normal 19 4 2" xfId="683" xr:uid="{00000000-0005-0000-0000-0000AA020000}"/>
    <cellStyle name="Normal 19 4 2 2" xfId="684" xr:uid="{00000000-0005-0000-0000-0000AB020000}"/>
    <cellStyle name="Normal 19 4 3" xfId="685" xr:uid="{00000000-0005-0000-0000-0000AC020000}"/>
    <cellStyle name="Normal 19 5" xfId="686" xr:uid="{00000000-0005-0000-0000-0000AD020000}"/>
    <cellStyle name="Normal 19 5 2" xfId="687" xr:uid="{00000000-0005-0000-0000-0000AE020000}"/>
    <cellStyle name="Normal 19 6" xfId="688" xr:uid="{00000000-0005-0000-0000-0000AF020000}"/>
    <cellStyle name="Normal 2" xfId="1" xr:uid="{00000000-0005-0000-0000-0000B0020000}"/>
    <cellStyle name="Normal 2 2" xfId="689" xr:uid="{00000000-0005-0000-0000-0000B1020000}"/>
    <cellStyle name="Normal 2 2 2" xfId="1474" xr:uid="{00000000-0005-0000-0000-0000B2020000}"/>
    <cellStyle name="Normal 2 3" xfId="690" xr:uid="{00000000-0005-0000-0000-0000B3020000}"/>
    <cellStyle name="Normal 2 3 2" xfId="691" xr:uid="{00000000-0005-0000-0000-0000B4020000}"/>
    <cellStyle name="Normal 2_Budget triennal 16-18" xfId="1475" xr:uid="{00000000-0005-0000-0000-0000B5020000}"/>
    <cellStyle name="Normal 20" xfId="692" xr:uid="{00000000-0005-0000-0000-0000B6020000}"/>
    <cellStyle name="Normal 20 2" xfId="693" xr:uid="{00000000-0005-0000-0000-0000B7020000}"/>
    <cellStyle name="Normal 20 2 2" xfId="694" xr:uid="{00000000-0005-0000-0000-0000B8020000}"/>
    <cellStyle name="Normal 20 2 2 2" xfId="695" xr:uid="{00000000-0005-0000-0000-0000B9020000}"/>
    <cellStyle name="Normal 20 2 2 2 2" xfId="696" xr:uid="{00000000-0005-0000-0000-0000BA020000}"/>
    <cellStyle name="Normal 20 2 2 2 2 2" xfId="697" xr:uid="{00000000-0005-0000-0000-0000BB020000}"/>
    <cellStyle name="Normal 20 2 2 2 3" xfId="698" xr:uid="{00000000-0005-0000-0000-0000BC020000}"/>
    <cellStyle name="Normal 20 2 2 3" xfId="699" xr:uid="{00000000-0005-0000-0000-0000BD020000}"/>
    <cellStyle name="Normal 20 2 2 3 2" xfId="700" xr:uid="{00000000-0005-0000-0000-0000BE020000}"/>
    <cellStyle name="Normal 20 2 2 4" xfId="701" xr:uid="{00000000-0005-0000-0000-0000BF020000}"/>
    <cellStyle name="Normal 20 2 3" xfId="702" xr:uid="{00000000-0005-0000-0000-0000C0020000}"/>
    <cellStyle name="Normal 20 2 3 2" xfId="703" xr:uid="{00000000-0005-0000-0000-0000C1020000}"/>
    <cellStyle name="Normal 20 2 3 2 2" xfId="704" xr:uid="{00000000-0005-0000-0000-0000C2020000}"/>
    <cellStyle name="Normal 20 2 3 3" xfId="705" xr:uid="{00000000-0005-0000-0000-0000C3020000}"/>
    <cellStyle name="Normal 20 2 4" xfId="706" xr:uid="{00000000-0005-0000-0000-0000C4020000}"/>
    <cellStyle name="Normal 20 2 4 2" xfId="707" xr:uid="{00000000-0005-0000-0000-0000C5020000}"/>
    <cellStyle name="Normal 20 2 5" xfId="708" xr:uid="{00000000-0005-0000-0000-0000C6020000}"/>
    <cellStyle name="Normal 20 3" xfId="709" xr:uid="{00000000-0005-0000-0000-0000C7020000}"/>
    <cellStyle name="Normal 20 3 2" xfId="710" xr:uid="{00000000-0005-0000-0000-0000C8020000}"/>
    <cellStyle name="Normal 20 3 2 2" xfId="711" xr:uid="{00000000-0005-0000-0000-0000C9020000}"/>
    <cellStyle name="Normal 20 3 2 2 2" xfId="712" xr:uid="{00000000-0005-0000-0000-0000CA020000}"/>
    <cellStyle name="Normal 20 3 2 3" xfId="713" xr:uid="{00000000-0005-0000-0000-0000CB020000}"/>
    <cellStyle name="Normal 20 3 3" xfId="714" xr:uid="{00000000-0005-0000-0000-0000CC020000}"/>
    <cellStyle name="Normal 20 3 3 2" xfId="715" xr:uid="{00000000-0005-0000-0000-0000CD020000}"/>
    <cellStyle name="Normal 20 3 4" xfId="716" xr:uid="{00000000-0005-0000-0000-0000CE020000}"/>
    <cellStyle name="Normal 20 4" xfId="717" xr:uid="{00000000-0005-0000-0000-0000CF020000}"/>
    <cellStyle name="Normal 20 4 2" xfId="718" xr:uid="{00000000-0005-0000-0000-0000D0020000}"/>
    <cellStyle name="Normal 20 4 2 2" xfId="719" xr:uid="{00000000-0005-0000-0000-0000D1020000}"/>
    <cellStyle name="Normal 20 4 3" xfId="720" xr:uid="{00000000-0005-0000-0000-0000D2020000}"/>
    <cellStyle name="Normal 20 5" xfId="721" xr:uid="{00000000-0005-0000-0000-0000D3020000}"/>
    <cellStyle name="Normal 20 5 2" xfId="722" xr:uid="{00000000-0005-0000-0000-0000D4020000}"/>
    <cellStyle name="Normal 20 6" xfId="723" xr:uid="{00000000-0005-0000-0000-0000D5020000}"/>
    <cellStyle name="Normal 21" xfId="724" xr:uid="{00000000-0005-0000-0000-0000D6020000}"/>
    <cellStyle name="Normal 21 2" xfId="725" xr:uid="{00000000-0005-0000-0000-0000D7020000}"/>
    <cellStyle name="Normal 21 2 2" xfId="726" xr:uid="{00000000-0005-0000-0000-0000D8020000}"/>
    <cellStyle name="Normal 21 2 2 2" xfId="727" xr:uid="{00000000-0005-0000-0000-0000D9020000}"/>
    <cellStyle name="Normal 21 2 2 2 2" xfId="728" xr:uid="{00000000-0005-0000-0000-0000DA020000}"/>
    <cellStyle name="Normal 21 2 2 2 2 2" xfId="729" xr:uid="{00000000-0005-0000-0000-0000DB020000}"/>
    <cellStyle name="Normal 21 2 2 2 3" xfId="730" xr:uid="{00000000-0005-0000-0000-0000DC020000}"/>
    <cellStyle name="Normal 21 2 2 3" xfId="731" xr:uid="{00000000-0005-0000-0000-0000DD020000}"/>
    <cellStyle name="Normal 21 2 2 3 2" xfId="732" xr:uid="{00000000-0005-0000-0000-0000DE020000}"/>
    <cellStyle name="Normal 21 2 2 4" xfId="733" xr:uid="{00000000-0005-0000-0000-0000DF020000}"/>
    <cellStyle name="Normal 21 2 3" xfId="734" xr:uid="{00000000-0005-0000-0000-0000E0020000}"/>
    <cellStyle name="Normal 21 2 3 2" xfId="735" xr:uid="{00000000-0005-0000-0000-0000E1020000}"/>
    <cellStyle name="Normal 21 2 3 2 2" xfId="736" xr:uid="{00000000-0005-0000-0000-0000E2020000}"/>
    <cellStyle name="Normal 21 2 3 3" xfId="737" xr:uid="{00000000-0005-0000-0000-0000E3020000}"/>
    <cellStyle name="Normal 21 2 4" xfId="738" xr:uid="{00000000-0005-0000-0000-0000E4020000}"/>
    <cellStyle name="Normal 21 2 4 2" xfId="739" xr:uid="{00000000-0005-0000-0000-0000E5020000}"/>
    <cellStyle name="Normal 21 2 5" xfId="740" xr:uid="{00000000-0005-0000-0000-0000E6020000}"/>
    <cellStyle name="Normal 21 3" xfId="741" xr:uid="{00000000-0005-0000-0000-0000E7020000}"/>
    <cellStyle name="Normal 21 3 2" xfId="742" xr:uid="{00000000-0005-0000-0000-0000E8020000}"/>
    <cellStyle name="Normal 21 3 2 2" xfId="743" xr:uid="{00000000-0005-0000-0000-0000E9020000}"/>
    <cellStyle name="Normal 21 3 2 2 2" xfId="744" xr:uid="{00000000-0005-0000-0000-0000EA020000}"/>
    <cellStyle name="Normal 21 3 2 3" xfId="745" xr:uid="{00000000-0005-0000-0000-0000EB020000}"/>
    <cellStyle name="Normal 21 3 3" xfId="746" xr:uid="{00000000-0005-0000-0000-0000EC020000}"/>
    <cellStyle name="Normal 21 3 3 2" xfId="747" xr:uid="{00000000-0005-0000-0000-0000ED020000}"/>
    <cellStyle name="Normal 21 3 4" xfId="748" xr:uid="{00000000-0005-0000-0000-0000EE020000}"/>
    <cellStyle name="Normal 21 4" xfId="749" xr:uid="{00000000-0005-0000-0000-0000EF020000}"/>
    <cellStyle name="Normal 21 4 2" xfId="750" xr:uid="{00000000-0005-0000-0000-0000F0020000}"/>
    <cellStyle name="Normal 21 4 2 2" xfId="751" xr:uid="{00000000-0005-0000-0000-0000F1020000}"/>
    <cellStyle name="Normal 21 4 3" xfId="752" xr:uid="{00000000-0005-0000-0000-0000F2020000}"/>
    <cellStyle name="Normal 21 5" xfId="753" xr:uid="{00000000-0005-0000-0000-0000F3020000}"/>
    <cellStyle name="Normal 21 5 2" xfId="754" xr:uid="{00000000-0005-0000-0000-0000F4020000}"/>
    <cellStyle name="Normal 21 6" xfId="755" xr:uid="{00000000-0005-0000-0000-0000F5020000}"/>
    <cellStyle name="Normal 22" xfId="756" xr:uid="{00000000-0005-0000-0000-0000F6020000}"/>
    <cellStyle name="Normal 22 2" xfId="757" xr:uid="{00000000-0005-0000-0000-0000F7020000}"/>
    <cellStyle name="Normal 22 2 2" xfId="758" xr:uid="{00000000-0005-0000-0000-0000F8020000}"/>
    <cellStyle name="Normal 22 2 2 2" xfId="759" xr:uid="{00000000-0005-0000-0000-0000F9020000}"/>
    <cellStyle name="Normal 22 2 2 2 2" xfId="760" xr:uid="{00000000-0005-0000-0000-0000FA020000}"/>
    <cellStyle name="Normal 22 2 2 2 2 2" xfId="761" xr:uid="{00000000-0005-0000-0000-0000FB020000}"/>
    <cellStyle name="Normal 22 2 2 2 3" xfId="762" xr:uid="{00000000-0005-0000-0000-0000FC020000}"/>
    <cellStyle name="Normal 22 2 2 3" xfId="763" xr:uid="{00000000-0005-0000-0000-0000FD020000}"/>
    <cellStyle name="Normal 22 2 2 3 2" xfId="764" xr:uid="{00000000-0005-0000-0000-0000FE020000}"/>
    <cellStyle name="Normal 22 2 2 4" xfId="765" xr:uid="{00000000-0005-0000-0000-0000FF020000}"/>
    <cellStyle name="Normal 22 2 3" xfId="766" xr:uid="{00000000-0005-0000-0000-000000030000}"/>
    <cellStyle name="Normal 22 2 3 2" xfId="767" xr:uid="{00000000-0005-0000-0000-000001030000}"/>
    <cellStyle name="Normal 22 2 3 2 2" xfId="768" xr:uid="{00000000-0005-0000-0000-000002030000}"/>
    <cellStyle name="Normal 22 2 3 3" xfId="769" xr:uid="{00000000-0005-0000-0000-000003030000}"/>
    <cellStyle name="Normal 22 2 4" xfId="770" xr:uid="{00000000-0005-0000-0000-000004030000}"/>
    <cellStyle name="Normal 22 2 4 2" xfId="771" xr:uid="{00000000-0005-0000-0000-000005030000}"/>
    <cellStyle name="Normal 22 2 5" xfId="772" xr:uid="{00000000-0005-0000-0000-000006030000}"/>
    <cellStyle name="Normal 22 3" xfId="773" xr:uid="{00000000-0005-0000-0000-000007030000}"/>
    <cellStyle name="Normal 22 3 2" xfId="774" xr:uid="{00000000-0005-0000-0000-000008030000}"/>
    <cellStyle name="Normal 22 3 2 2" xfId="775" xr:uid="{00000000-0005-0000-0000-000009030000}"/>
    <cellStyle name="Normal 22 3 2 2 2" xfId="776" xr:uid="{00000000-0005-0000-0000-00000A030000}"/>
    <cellStyle name="Normal 22 3 2 3" xfId="777" xr:uid="{00000000-0005-0000-0000-00000B030000}"/>
    <cellStyle name="Normal 22 3 3" xfId="778" xr:uid="{00000000-0005-0000-0000-00000C030000}"/>
    <cellStyle name="Normal 22 3 3 2" xfId="779" xr:uid="{00000000-0005-0000-0000-00000D030000}"/>
    <cellStyle name="Normal 22 3 4" xfId="780" xr:uid="{00000000-0005-0000-0000-00000E030000}"/>
    <cellStyle name="Normal 22 4" xfId="781" xr:uid="{00000000-0005-0000-0000-00000F030000}"/>
    <cellStyle name="Normal 22 4 2" xfId="782" xr:uid="{00000000-0005-0000-0000-000010030000}"/>
    <cellStyle name="Normal 22 4 2 2" xfId="783" xr:uid="{00000000-0005-0000-0000-000011030000}"/>
    <cellStyle name="Normal 22 4 3" xfId="784" xr:uid="{00000000-0005-0000-0000-000012030000}"/>
    <cellStyle name="Normal 22 5" xfId="785" xr:uid="{00000000-0005-0000-0000-000013030000}"/>
    <cellStyle name="Normal 22 5 2" xfId="786" xr:uid="{00000000-0005-0000-0000-000014030000}"/>
    <cellStyle name="Normal 22 6" xfId="787" xr:uid="{00000000-0005-0000-0000-000015030000}"/>
    <cellStyle name="Normal 23" xfId="788" xr:uid="{00000000-0005-0000-0000-000016030000}"/>
    <cellStyle name="Normal 23 2" xfId="789" xr:uid="{00000000-0005-0000-0000-000017030000}"/>
    <cellStyle name="Normal 23 2 2" xfId="790" xr:uid="{00000000-0005-0000-0000-000018030000}"/>
    <cellStyle name="Normal 23 2 2 2" xfId="791" xr:uid="{00000000-0005-0000-0000-000019030000}"/>
    <cellStyle name="Normal 23 2 2 2 2" xfId="792" xr:uid="{00000000-0005-0000-0000-00001A030000}"/>
    <cellStyle name="Normal 23 2 2 2 2 2" xfId="793" xr:uid="{00000000-0005-0000-0000-00001B030000}"/>
    <cellStyle name="Normal 23 2 2 2 3" xfId="794" xr:uid="{00000000-0005-0000-0000-00001C030000}"/>
    <cellStyle name="Normal 23 2 2 3" xfId="795" xr:uid="{00000000-0005-0000-0000-00001D030000}"/>
    <cellStyle name="Normal 23 2 2 3 2" xfId="796" xr:uid="{00000000-0005-0000-0000-00001E030000}"/>
    <cellStyle name="Normal 23 2 2 4" xfId="797" xr:uid="{00000000-0005-0000-0000-00001F030000}"/>
    <cellStyle name="Normal 23 2 3" xfId="798" xr:uid="{00000000-0005-0000-0000-000020030000}"/>
    <cellStyle name="Normal 23 2 3 2" xfId="799" xr:uid="{00000000-0005-0000-0000-000021030000}"/>
    <cellStyle name="Normal 23 2 3 2 2" xfId="800" xr:uid="{00000000-0005-0000-0000-000022030000}"/>
    <cellStyle name="Normal 23 2 3 3" xfId="801" xr:uid="{00000000-0005-0000-0000-000023030000}"/>
    <cellStyle name="Normal 23 2 4" xfId="802" xr:uid="{00000000-0005-0000-0000-000024030000}"/>
    <cellStyle name="Normal 23 2 4 2" xfId="803" xr:uid="{00000000-0005-0000-0000-000025030000}"/>
    <cellStyle name="Normal 23 2 5" xfId="804" xr:uid="{00000000-0005-0000-0000-000026030000}"/>
    <cellStyle name="Normal 23 3" xfId="805" xr:uid="{00000000-0005-0000-0000-000027030000}"/>
    <cellStyle name="Normal 23 3 2" xfId="806" xr:uid="{00000000-0005-0000-0000-000028030000}"/>
    <cellStyle name="Normal 23 3 2 2" xfId="807" xr:uid="{00000000-0005-0000-0000-000029030000}"/>
    <cellStyle name="Normal 23 3 2 2 2" xfId="808" xr:uid="{00000000-0005-0000-0000-00002A030000}"/>
    <cellStyle name="Normal 23 3 2 3" xfId="809" xr:uid="{00000000-0005-0000-0000-00002B030000}"/>
    <cellStyle name="Normal 23 3 3" xfId="810" xr:uid="{00000000-0005-0000-0000-00002C030000}"/>
    <cellStyle name="Normal 23 3 3 2" xfId="811" xr:uid="{00000000-0005-0000-0000-00002D030000}"/>
    <cellStyle name="Normal 23 3 4" xfId="812" xr:uid="{00000000-0005-0000-0000-00002E030000}"/>
    <cellStyle name="Normal 23 4" xfId="813" xr:uid="{00000000-0005-0000-0000-00002F030000}"/>
    <cellStyle name="Normal 23 4 2" xfId="814" xr:uid="{00000000-0005-0000-0000-000030030000}"/>
    <cellStyle name="Normal 23 4 2 2" xfId="815" xr:uid="{00000000-0005-0000-0000-000031030000}"/>
    <cellStyle name="Normal 23 4 3" xfId="816" xr:uid="{00000000-0005-0000-0000-000032030000}"/>
    <cellStyle name="Normal 23 5" xfId="817" xr:uid="{00000000-0005-0000-0000-000033030000}"/>
    <cellStyle name="Normal 23 5 2" xfId="818" xr:uid="{00000000-0005-0000-0000-000034030000}"/>
    <cellStyle name="Normal 23 6" xfId="819" xr:uid="{00000000-0005-0000-0000-000035030000}"/>
    <cellStyle name="Normal 24" xfId="820" xr:uid="{00000000-0005-0000-0000-000036030000}"/>
    <cellStyle name="Normal 25" xfId="821" xr:uid="{00000000-0005-0000-0000-000037030000}"/>
    <cellStyle name="Normal 25 2" xfId="822" xr:uid="{00000000-0005-0000-0000-000038030000}"/>
    <cellStyle name="Normal 25 2 2" xfId="823" xr:uid="{00000000-0005-0000-0000-000039030000}"/>
    <cellStyle name="Normal 25 2 2 2" xfId="824" xr:uid="{00000000-0005-0000-0000-00003A030000}"/>
    <cellStyle name="Normal 25 2 2 2 2" xfId="825" xr:uid="{00000000-0005-0000-0000-00003B030000}"/>
    <cellStyle name="Normal 25 2 2 3" xfId="826" xr:uid="{00000000-0005-0000-0000-00003C030000}"/>
    <cellStyle name="Normal 25 2 3" xfId="827" xr:uid="{00000000-0005-0000-0000-00003D030000}"/>
    <cellStyle name="Normal 25 2 3 2" xfId="828" xr:uid="{00000000-0005-0000-0000-00003E030000}"/>
    <cellStyle name="Normal 25 2 4" xfId="829" xr:uid="{00000000-0005-0000-0000-00003F030000}"/>
    <cellStyle name="Normal 25 3" xfId="830" xr:uid="{00000000-0005-0000-0000-000040030000}"/>
    <cellStyle name="Normal 25 3 2" xfId="831" xr:uid="{00000000-0005-0000-0000-000041030000}"/>
    <cellStyle name="Normal 25 3 2 2" xfId="832" xr:uid="{00000000-0005-0000-0000-000042030000}"/>
    <cellStyle name="Normal 25 3 2 2 2" xfId="833" xr:uid="{00000000-0005-0000-0000-000043030000}"/>
    <cellStyle name="Normal 25 3 2 3" xfId="834" xr:uid="{00000000-0005-0000-0000-000044030000}"/>
    <cellStyle name="Normal 25 3 3" xfId="835" xr:uid="{00000000-0005-0000-0000-000045030000}"/>
    <cellStyle name="Normal 25 3 3 2" xfId="836" xr:uid="{00000000-0005-0000-0000-000046030000}"/>
    <cellStyle name="Normal 25 3 4" xfId="837" xr:uid="{00000000-0005-0000-0000-000047030000}"/>
    <cellStyle name="Normal 25 4" xfId="838" xr:uid="{00000000-0005-0000-0000-000048030000}"/>
    <cellStyle name="Normal 25 4 2" xfId="839" xr:uid="{00000000-0005-0000-0000-000049030000}"/>
    <cellStyle name="Normal 25 4 2 2" xfId="840" xr:uid="{00000000-0005-0000-0000-00004A030000}"/>
    <cellStyle name="Normal 25 4 3" xfId="841" xr:uid="{00000000-0005-0000-0000-00004B030000}"/>
    <cellStyle name="Normal 25 5" xfId="842" xr:uid="{00000000-0005-0000-0000-00004C030000}"/>
    <cellStyle name="Normal 25 5 2" xfId="843" xr:uid="{00000000-0005-0000-0000-00004D030000}"/>
    <cellStyle name="Normal 25 6" xfId="844" xr:uid="{00000000-0005-0000-0000-00004E030000}"/>
    <cellStyle name="Normal 26" xfId="845" xr:uid="{00000000-0005-0000-0000-00004F030000}"/>
    <cellStyle name="Normal 27" xfId="846" xr:uid="{00000000-0005-0000-0000-000050030000}"/>
    <cellStyle name="Normal 27 2" xfId="847" xr:uid="{00000000-0005-0000-0000-000051030000}"/>
    <cellStyle name="Normal 27 2 2" xfId="848" xr:uid="{00000000-0005-0000-0000-000052030000}"/>
    <cellStyle name="Normal 27 2 2 2" xfId="849" xr:uid="{00000000-0005-0000-0000-000053030000}"/>
    <cellStyle name="Normal 27 2 3" xfId="850" xr:uid="{00000000-0005-0000-0000-000054030000}"/>
    <cellStyle name="Normal 27 3" xfId="851" xr:uid="{00000000-0005-0000-0000-000055030000}"/>
    <cellStyle name="Normal 27 3 2" xfId="852" xr:uid="{00000000-0005-0000-0000-000056030000}"/>
    <cellStyle name="Normal 27 4" xfId="853" xr:uid="{00000000-0005-0000-0000-000057030000}"/>
    <cellStyle name="Normal 28" xfId="854" xr:uid="{00000000-0005-0000-0000-000058030000}"/>
    <cellStyle name="Normal 28 2" xfId="855" xr:uid="{00000000-0005-0000-0000-000059030000}"/>
    <cellStyle name="Normal 28 2 2" xfId="856" xr:uid="{00000000-0005-0000-0000-00005A030000}"/>
    <cellStyle name="Normal 28 2 2 2" xfId="857" xr:uid="{00000000-0005-0000-0000-00005B030000}"/>
    <cellStyle name="Normal 28 2 3" xfId="858" xr:uid="{00000000-0005-0000-0000-00005C030000}"/>
    <cellStyle name="Normal 28 3" xfId="859" xr:uid="{00000000-0005-0000-0000-00005D030000}"/>
    <cellStyle name="Normal 28 3 2" xfId="860" xr:uid="{00000000-0005-0000-0000-00005E030000}"/>
    <cellStyle name="Normal 28 4" xfId="861" xr:uid="{00000000-0005-0000-0000-00005F030000}"/>
    <cellStyle name="Normal 29" xfId="862" xr:uid="{00000000-0005-0000-0000-000060030000}"/>
    <cellStyle name="Normal 29 2" xfId="863" xr:uid="{00000000-0005-0000-0000-000061030000}"/>
    <cellStyle name="Normal 29 2 2" xfId="864" xr:uid="{00000000-0005-0000-0000-000062030000}"/>
    <cellStyle name="Normal 29 2 2 2" xfId="865" xr:uid="{00000000-0005-0000-0000-000063030000}"/>
    <cellStyle name="Normal 29 2 3" xfId="866" xr:uid="{00000000-0005-0000-0000-000064030000}"/>
    <cellStyle name="Normal 29 3" xfId="867" xr:uid="{00000000-0005-0000-0000-000065030000}"/>
    <cellStyle name="Normal 29 3 2" xfId="868" xr:uid="{00000000-0005-0000-0000-000066030000}"/>
    <cellStyle name="Normal 29 4" xfId="869" xr:uid="{00000000-0005-0000-0000-000067030000}"/>
    <cellStyle name="Normal 3" xfId="870" xr:uid="{00000000-0005-0000-0000-000068030000}"/>
    <cellStyle name="Normal 3 2" xfId="871" xr:uid="{00000000-0005-0000-0000-000069030000}"/>
    <cellStyle name="Normal 3 2 2" xfId="872" xr:uid="{00000000-0005-0000-0000-00006A030000}"/>
    <cellStyle name="Normal 3 2 2 2" xfId="873" xr:uid="{00000000-0005-0000-0000-00006B030000}"/>
    <cellStyle name="Normal 3 2 2 2 2" xfId="874" xr:uid="{00000000-0005-0000-0000-00006C030000}"/>
    <cellStyle name="Normal 3 2 2 2 2 2" xfId="875" xr:uid="{00000000-0005-0000-0000-00006D030000}"/>
    <cellStyle name="Normal 3 2 2 2 3" xfId="876" xr:uid="{00000000-0005-0000-0000-00006E030000}"/>
    <cellStyle name="Normal 3 2 2 3" xfId="877" xr:uid="{00000000-0005-0000-0000-00006F030000}"/>
    <cellStyle name="Normal 3 2 2 3 2" xfId="878" xr:uid="{00000000-0005-0000-0000-000070030000}"/>
    <cellStyle name="Normal 3 2 2 4" xfId="879" xr:uid="{00000000-0005-0000-0000-000071030000}"/>
    <cellStyle name="Normal 3 2 3" xfId="880" xr:uid="{00000000-0005-0000-0000-000072030000}"/>
    <cellStyle name="Normal 3 2 3 2" xfId="881" xr:uid="{00000000-0005-0000-0000-000073030000}"/>
    <cellStyle name="Normal 3 2 3 2 2" xfId="882" xr:uid="{00000000-0005-0000-0000-000074030000}"/>
    <cellStyle name="Normal 3 2 3 3" xfId="883" xr:uid="{00000000-0005-0000-0000-000075030000}"/>
    <cellStyle name="Normal 3 2 4" xfId="884" xr:uid="{00000000-0005-0000-0000-000076030000}"/>
    <cellStyle name="Normal 3 2 4 2" xfId="885" xr:uid="{00000000-0005-0000-0000-000077030000}"/>
    <cellStyle name="Normal 3 2 5" xfId="886" xr:uid="{00000000-0005-0000-0000-000078030000}"/>
    <cellStyle name="Normal 3 3" xfId="887" xr:uid="{00000000-0005-0000-0000-000079030000}"/>
    <cellStyle name="Normal 3 3 2" xfId="888" xr:uid="{00000000-0005-0000-0000-00007A030000}"/>
    <cellStyle name="Normal 3 3 2 2" xfId="889" xr:uid="{00000000-0005-0000-0000-00007B030000}"/>
    <cellStyle name="Normal 3 3 2 2 2" xfId="890" xr:uid="{00000000-0005-0000-0000-00007C030000}"/>
    <cellStyle name="Normal 3 3 2 3" xfId="891" xr:uid="{00000000-0005-0000-0000-00007D030000}"/>
    <cellStyle name="Normal 3 3 3" xfId="892" xr:uid="{00000000-0005-0000-0000-00007E030000}"/>
    <cellStyle name="Normal 3 3 3 2" xfId="893" xr:uid="{00000000-0005-0000-0000-00007F030000}"/>
    <cellStyle name="Normal 3 3 4" xfId="894" xr:uid="{00000000-0005-0000-0000-000080030000}"/>
    <cellStyle name="Normal 3 4" xfId="3" xr:uid="{00000000-0005-0000-0000-000081030000}"/>
    <cellStyle name="Normal 3 4 2" xfId="895" xr:uid="{00000000-0005-0000-0000-000082030000}"/>
    <cellStyle name="Normal 3 4 2 2" xfId="896" xr:uid="{00000000-0005-0000-0000-000083030000}"/>
    <cellStyle name="Normal 3 4 2 2 2" xfId="897" xr:uid="{00000000-0005-0000-0000-000084030000}"/>
    <cellStyle name="Normal 3 4 2 3" xfId="898" xr:uid="{00000000-0005-0000-0000-000085030000}"/>
    <cellStyle name="Normal 3 4 3" xfId="899" xr:uid="{00000000-0005-0000-0000-000086030000}"/>
    <cellStyle name="Normal 3 4 3 2" xfId="900" xr:uid="{00000000-0005-0000-0000-000087030000}"/>
    <cellStyle name="Normal 3 4 4" xfId="901" xr:uid="{00000000-0005-0000-0000-000088030000}"/>
    <cellStyle name="Normal 3 5" xfId="902" xr:uid="{00000000-0005-0000-0000-000089030000}"/>
    <cellStyle name="Normal 3 5 2" xfId="903" xr:uid="{00000000-0005-0000-0000-00008A030000}"/>
    <cellStyle name="Normal 3 5 2 2" xfId="904" xr:uid="{00000000-0005-0000-0000-00008B030000}"/>
    <cellStyle name="Normal 3 5 3" xfId="905" xr:uid="{00000000-0005-0000-0000-00008C030000}"/>
    <cellStyle name="Normal 3 6" xfId="906" xr:uid="{00000000-0005-0000-0000-00008D030000}"/>
    <cellStyle name="Normal 3 6 2" xfId="907" xr:uid="{00000000-0005-0000-0000-00008E030000}"/>
    <cellStyle name="Normal 3 7" xfId="908" xr:uid="{00000000-0005-0000-0000-00008F030000}"/>
    <cellStyle name="Normal 3 8" xfId="909" xr:uid="{00000000-0005-0000-0000-000090030000}"/>
    <cellStyle name="Normal 30" xfId="910" xr:uid="{00000000-0005-0000-0000-000091030000}"/>
    <cellStyle name="Normal 30 2" xfId="911" xr:uid="{00000000-0005-0000-0000-000092030000}"/>
    <cellStyle name="Normal 30 2 2" xfId="912" xr:uid="{00000000-0005-0000-0000-000093030000}"/>
    <cellStyle name="Normal 30 2 2 2" xfId="913" xr:uid="{00000000-0005-0000-0000-000094030000}"/>
    <cellStyle name="Normal 30 2 3" xfId="914" xr:uid="{00000000-0005-0000-0000-000095030000}"/>
    <cellStyle name="Normal 30 3" xfId="915" xr:uid="{00000000-0005-0000-0000-000096030000}"/>
    <cellStyle name="Normal 30 3 2" xfId="916" xr:uid="{00000000-0005-0000-0000-000097030000}"/>
    <cellStyle name="Normal 30 4" xfId="917" xr:uid="{00000000-0005-0000-0000-000098030000}"/>
    <cellStyle name="Normal 31" xfId="918" xr:uid="{00000000-0005-0000-0000-000099030000}"/>
    <cellStyle name="Normal 31 2" xfId="919" xr:uid="{00000000-0005-0000-0000-00009A030000}"/>
    <cellStyle name="Normal 31 2 2" xfId="920" xr:uid="{00000000-0005-0000-0000-00009B030000}"/>
    <cellStyle name="Normal 31 2 2 2" xfId="921" xr:uid="{00000000-0005-0000-0000-00009C030000}"/>
    <cellStyle name="Normal 31 2 3" xfId="922" xr:uid="{00000000-0005-0000-0000-00009D030000}"/>
    <cellStyle name="Normal 31 3" xfId="923" xr:uid="{00000000-0005-0000-0000-00009E030000}"/>
    <cellStyle name="Normal 31 3 2" xfId="924" xr:uid="{00000000-0005-0000-0000-00009F030000}"/>
    <cellStyle name="Normal 31 4" xfId="925" xr:uid="{00000000-0005-0000-0000-0000A0030000}"/>
    <cellStyle name="Normal 32" xfId="926" xr:uid="{00000000-0005-0000-0000-0000A1030000}"/>
    <cellStyle name="Normal 32 2" xfId="927" xr:uid="{00000000-0005-0000-0000-0000A2030000}"/>
    <cellStyle name="Normal 32 2 2" xfId="928" xr:uid="{00000000-0005-0000-0000-0000A3030000}"/>
    <cellStyle name="Normal 32 2 2 2" xfId="929" xr:uid="{00000000-0005-0000-0000-0000A4030000}"/>
    <cellStyle name="Normal 32 2 3" xfId="930" xr:uid="{00000000-0005-0000-0000-0000A5030000}"/>
    <cellStyle name="Normal 32 3" xfId="931" xr:uid="{00000000-0005-0000-0000-0000A6030000}"/>
    <cellStyle name="Normal 32 3 2" xfId="932" xr:uid="{00000000-0005-0000-0000-0000A7030000}"/>
    <cellStyle name="Normal 32 4" xfId="933" xr:uid="{00000000-0005-0000-0000-0000A8030000}"/>
    <cellStyle name="Normal 33" xfId="934" xr:uid="{00000000-0005-0000-0000-0000A9030000}"/>
    <cellStyle name="Normal 33 2" xfId="935" xr:uid="{00000000-0005-0000-0000-0000AA030000}"/>
    <cellStyle name="Normal 33 2 2" xfId="936" xr:uid="{00000000-0005-0000-0000-0000AB030000}"/>
    <cellStyle name="Normal 33 2 2 2" xfId="937" xr:uid="{00000000-0005-0000-0000-0000AC030000}"/>
    <cellStyle name="Normal 33 2 3" xfId="938" xr:uid="{00000000-0005-0000-0000-0000AD030000}"/>
    <cellStyle name="Normal 33 3" xfId="939" xr:uid="{00000000-0005-0000-0000-0000AE030000}"/>
    <cellStyle name="Normal 33 3 2" xfId="940" xr:uid="{00000000-0005-0000-0000-0000AF030000}"/>
    <cellStyle name="Normal 33 4" xfId="941" xr:uid="{00000000-0005-0000-0000-0000B0030000}"/>
    <cellStyle name="Normal 34" xfId="942" xr:uid="{00000000-0005-0000-0000-0000B1030000}"/>
    <cellStyle name="Normal 34 2" xfId="943" xr:uid="{00000000-0005-0000-0000-0000B2030000}"/>
    <cellStyle name="Normal 34 2 2" xfId="944" xr:uid="{00000000-0005-0000-0000-0000B3030000}"/>
    <cellStyle name="Normal 34 2 2 2" xfId="945" xr:uid="{00000000-0005-0000-0000-0000B4030000}"/>
    <cellStyle name="Normal 34 2 3" xfId="946" xr:uid="{00000000-0005-0000-0000-0000B5030000}"/>
    <cellStyle name="Normal 34 3" xfId="947" xr:uid="{00000000-0005-0000-0000-0000B6030000}"/>
    <cellStyle name="Normal 34 3 2" xfId="948" xr:uid="{00000000-0005-0000-0000-0000B7030000}"/>
    <cellStyle name="Normal 34 4" xfId="949" xr:uid="{00000000-0005-0000-0000-0000B8030000}"/>
    <cellStyle name="Normal 35" xfId="950" xr:uid="{00000000-0005-0000-0000-0000B9030000}"/>
    <cellStyle name="Normal 35 2" xfId="951" xr:uid="{00000000-0005-0000-0000-0000BA030000}"/>
    <cellStyle name="Normal 35 2 2" xfId="952" xr:uid="{00000000-0005-0000-0000-0000BB030000}"/>
    <cellStyle name="Normal 35 2 2 2" xfId="953" xr:uid="{00000000-0005-0000-0000-0000BC030000}"/>
    <cellStyle name="Normal 35 2 3" xfId="954" xr:uid="{00000000-0005-0000-0000-0000BD030000}"/>
    <cellStyle name="Normal 35 3" xfId="955" xr:uid="{00000000-0005-0000-0000-0000BE030000}"/>
    <cellStyle name="Normal 35 3 2" xfId="956" xr:uid="{00000000-0005-0000-0000-0000BF030000}"/>
    <cellStyle name="Normal 35 4" xfId="957" xr:uid="{00000000-0005-0000-0000-0000C0030000}"/>
    <cellStyle name="Normal 36" xfId="958" xr:uid="{00000000-0005-0000-0000-0000C1030000}"/>
    <cellStyle name="Normal 36 2" xfId="5" xr:uid="{00000000-0005-0000-0000-0000C2030000}"/>
    <cellStyle name="Normal 36 2 2" xfId="959" xr:uid="{00000000-0005-0000-0000-0000C3030000}"/>
    <cellStyle name="Normal 36 2 2 2" xfId="960" xr:uid="{00000000-0005-0000-0000-0000C4030000}"/>
    <cellStyle name="Normal 36 2 2 2 2" xfId="961" xr:uid="{00000000-0005-0000-0000-0000C5030000}"/>
    <cellStyle name="Normal 36 2 2 3" xfId="962" xr:uid="{00000000-0005-0000-0000-0000C6030000}"/>
    <cellStyle name="Normal 36 2 3" xfId="963" xr:uid="{00000000-0005-0000-0000-0000C7030000}"/>
    <cellStyle name="Normal 36 2 3 2" xfId="964" xr:uid="{00000000-0005-0000-0000-0000C8030000}"/>
    <cellStyle name="Normal 36 2 3 2 2" xfId="965" xr:uid="{00000000-0005-0000-0000-0000C9030000}"/>
    <cellStyle name="Normal 36 2 3 3" xfId="966" xr:uid="{00000000-0005-0000-0000-0000CA030000}"/>
    <cellStyle name="Normal 36 2 4" xfId="967" xr:uid="{00000000-0005-0000-0000-0000CB030000}"/>
    <cellStyle name="Normal 36 2 4 2" xfId="968" xr:uid="{00000000-0005-0000-0000-0000CC030000}"/>
    <cellStyle name="Normal 36 2 5" xfId="969" xr:uid="{00000000-0005-0000-0000-0000CD030000}"/>
    <cellStyle name="Normal 36 3" xfId="970" xr:uid="{00000000-0005-0000-0000-0000CE030000}"/>
    <cellStyle name="Normal 36 3 2" xfId="971" xr:uid="{00000000-0005-0000-0000-0000CF030000}"/>
    <cellStyle name="Normal 36 3 2 2" xfId="972" xr:uid="{00000000-0005-0000-0000-0000D0030000}"/>
    <cellStyle name="Normal 36 3 3" xfId="973" xr:uid="{00000000-0005-0000-0000-0000D1030000}"/>
    <cellStyle name="Normal 36 4" xfId="974" xr:uid="{00000000-0005-0000-0000-0000D2030000}"/>
    <cellStyle name="Normal 36 4 2" xfId="975" xr:uid="{00000000-0005-0000-0000-0000D3030000}"/>
    <cellStyle name="Normal 36 5" xfId="976" xr:uid="{00000000-0005-0000-0000-0000D4030000}"/>
    <cellStyle name="Normal 37" xfId="977" xr:uid="{00000000-0005-0000-0000-0000D5030000}"/>
    <cellStyle name="Normal 37 2" xfId="978" xr:uid="{00000000-0005-0000-0000-0000D6030000}"/>
    <cellStyle name="Normal 37 2 2" xfId="979" xr:uid="{00000000-0005-0000-0000-0000D7030000}"/>
    <cellStyle name="Normal 37 2 2 2" xfId="980" xr:uid="{00000000-0005-0000-0000-0000D8030000}"/>
    <cellStyle name="Normal 37 2 3" xfId="981" xr:uid="{00000000-0005-0000-0000-0000D9030000}"/>
    <cellStyle name="Normal 37 3" xfId="982" xr:uid="{00000000-0005-0000-0000-0000DA030000}"/>
    <cellStyle name="Normal 37 3 2" xfId="983" xr:uid="{00000000-0005-0000-0000-0000DB030000}"/>
    <cellStyle name="Normal 37 4" xfId="984" xr:uid="{00000000-0005-0000-0000-0000DC030000}"/>
    <cellStyle name="Normal 38" xfId="985" xr:uid="{00000000-0005-0000-0000-0000DD030000}"/>
    <cellStyle name="Normal 38 2" xfId="986" xr:uid="{00000000-0005-0000-0000-0000DE030000}"/>
    <cellStyle name="Normal 38 2 2" xfId="987" xr:uid="{00000000-0005-0000-0000-0000DF030000}"/>
    <cellStyle name="Normal 38 2 2 2" xfId="988" xr:uid="{00000000-0005-0000-0000-0000E0030000}"/>
    <cellStyle name="Normal 38 2 3" xfId="989" xr:uid="{00000000-0005-0000-0000-0000E1030000}"/>
    <cellStyle name="Normal 38 3" xfId="990" xr:uid="{00000000-0005-0000-0000-0000E2030000}"/>
    <cellStyle name="Normal 38 3 2" xfId="991" xr:uid="{00000000-0005-0000-0000-0000E3030000}"/>
    <cellStyle name="Normal 38 4" xfId="992" xr:uid="{00000000-0005-0000-0000-0000E4030000}"/>
    <cellStyle name="Normal 39" xfId="993" xr:uid="{00000000-0005-0000-0000-0000E5030000}"/>
    <cellStyle name="Normal 39 2" xfId="994" xr:uid="{00000000-0005-0000-0000-0000E6030000}"/>
    <cellStyle name="Normal 39 2 2" xfId="995" xr:uid="{00000000-0005-0000-0000-0000E7030000}"/>
    <cellStyle name="Normal 39 2 2 2" xfId="996" xr:uid="{00000000-0005-0000-0000-0000E8030000}"/>
    <cellStyle name="Normal 39 2 3" xfId="997" xr:uid="{00000000-0005-0000-0000-0000E9030000}"/>
    <cellStyle name="Normal 39 3" xfId="998" xr:uid="{00000000-0005-0000-0000-0000EA030000}"/>
    <cellStyle name="Normal 39 3 2" xfId="999" xr:uid="{00000000-0005-0000-0000-0000EB030000}"/>
    <cellStyle name="Normal 39 4" xfId="1000" xr:uid="{00000000-0005-0000-0000-0000EC030000}"/>
    <cellStyle name="Normal 4" xfId="1001" xr:uid="{00000000-0005-0000-0000-0000ED030000}"/>
    <cellStyle name="Normal 4 2" xfId="1002" xr:uid="{00000000-0005-0000-0000-0000EE030000}"/>
    <cellStyle name="Normal 4 2 2" xfId="1003" xr:uid="{00000000-0005-0000-0000-0000EF030000}"/>
    <cellStyle name="Normal 4 2 2 2" xfId="1004" xr:uid="{00000000-0005-0000-0000-0000F0030000}"/>
    <cellStyle name="Normal 4 2 2 2 2" xfId="1005" xr:uid="{00000000-0005-0000-0000-0000F1030000}"/>
    <cellStyle name="Normal 4 2 2 2 2 2" xfId="1006" xr:uid="{00000000-0005-0000-0000-0000F2030000}"/>
    <cellStyle name="Normal 4 2 2 2 3" xfId="1007" xr:uid="{00000000-0005-0000-0000-0000F3030000}"/>
    <cellStyle name="Normal 4 2 2 3" xfId="1008" xr:uid="{00000000-0005-0000-0000-0000F4030000}"/>
    <cellStyle name="Normal 4 2 2 3 2" xfId="1009" xr:uid="{00000000-0005-0000-0000-0000F5030000}"/>
    <cellStyle name="Normal 4 2 2 4" xfId="1010" xr:uid="{00000000-0005-0000-0000-0000F6030000}"/>
    <cellStyle name="Normal 4 2 3" xfId="1011" xr:uid="{00000000-0005-0000-0000-0000F7030000}"/>
    <cellStyle name="Normal 4 2 3 2" xfId="1012" xr:uid="{00000000-0005-0000-0000-0000F8030000}"/>
    <cellStyle name="Normal 4 2 3 2 2" xfId="1013" xr:uid="{00000000-0005-0000-0000-0000F9030000}"/>
    <cellStyle name="Normal 4 2 3 3" xfId="1014" xr:uid="{00000000-0005-0000-0000-0000FA030000}"/>
    <cellStyle name="Normal 4 2 4" xfId="1015" xr:uid="{00000000-0005-0000-0000-0000FB030000}"/>
    <cellStyle name="Normal 4 2 4 2" xfId="1016" xr:uid="{00000000-0005-0000-0000-0000FC030000}"/>
    <cellStyle name="Normal 4 2 5" xfId="1017" xr:uid="{00000000-0005-0000-0000-0000FD030000}"/>
    <cellStyle name="Normal 4 3" xfId="1018" xr:uid="{00000000-0005-0000-0000-0000FE030000}"/>
    <cellStyle name="Normal 4 3 2" xfId="1019" xr:uid="{00000000-0005-0000-0000-0000FF030000}"/>
    <cellStyle name="Normal 4 3 2 2" xfId="1020" xr:uid="{00000000-0005-0000-0000-000000040000}"/>
    <cellStyle name="Normal 4 3 2 2 2" xfId="1021" xr:uid="{00000000-0005-0000-0000-000001040000}"/>
    <cellStyle name="Normal 4 3 2 3" xfId="1022" xr:uid="{00000000-0005-0000-0000-000002040000}"/>
    <cellStyle name="Normal 4 3 3" xfId="1023" xr:uid="{00000000-0005-0000-0000-000003040000}"/>
    <cellStyle name="Normal 4 3 3 2" xfId="1024" xr:uid="{00000000-0005-0000-0000-000004040000}"/>
    <cellStyle name="Normal 4 3 4" xfId="1025" xr:uid="{00000000-0005-0000-0000-000005040000}"/>
    <cellStyle name="Normal 4 4" xfId="1026" xr:uid="{00000000-0005-0000-0000-000006040000}"/>
    <cellStyle name="Normal 4 4 2" xfId="1027" xr:uid="{00000000-0005-0000-0000-000007040000}"/>
    <cellStyle name="Normal 4 4 2 2" xfId="1028" xr:uid="{00000000-0005-0000-0000-000008040000}"/>
    <cellStyle name="Normal 4 4 3" xfId="1029" xr:uid="{00000000-0005-0000-0000-000009040000}"/>
    <cellStyle name="Normal 4 5" xfId="1030" xr:uid="{00000000-0005-0000-0000-00000A040000}"/>
    <cellStyle name="Normal 4 5 2" xfId="1031" xr:uid="{00000000-0005-0000-0000-00000B040000}"/>
    <cellStyle name="Normal 4 6" xfId="1032" xr:uid="{00000000-0005-0000-0000-00000C040000}"/>
    <cellStyle name="Normal 40" xfId="1033" xr:uid="{00000000-0005-0000-0000-00000D040000}"/>
    <cellStyle name="Normal 40 2" xfId="1034" xr:uid="{00000000-0005-0000-0000-00000E040000}"/>
    <cellStyle name="Normal 40 2 2" xfId="1035" xr:uid="{00000000-0005-0000-0000-00000F040000}"/>
    <cellStyle name="Normal 40 2 2 2" xfId="1036" xr:uid="{00000000-0005-0000-0000-000010040000}"/>
    <cellStyle name="Normal 40 2 3" xfId="1037" xr:uid="{00000000-0005-0000-0000-000011040000}"/>
    <cellStyle name="Normal 40 3" xfId="1038" xr:uid="{00000000-0005-0000-0000-000012040000}"/>
    <cellStyle name="Normal 40 3 2" xfId="1039" xr:uid="{00000000-0005-0000-0000-000013040000}"/>
    <cellStyle name="Normal 40 4" xfId="1040" xr:uid="{00000000-0005-0000-0000-000014040000}"/>
    <cellStyle name="Normal 41" xfId="1041" xr:uid="{00000000-0005-0000-0000-000015040000}"/>
    <cellStyle name="Normal 41 2" xfId="1042" xr:uid="{00000000-0005-0000-0000-000016040000}"/>
    <cellStyle name="Normal 41 2 2" xfId="1043" xr:uid="{00000000-0005-0000-0000-000017040000}"/>
    <cellStyle name="Normal 41 2 2 2" xfId="1044" xr:uid="{00000000-0005-0000-0000-000018040000}"/>
    <cellStyle name="Normal 41 2 3" xfId="1045" xr:uid="{00000000-0005-0000-0000-000019040000}"/>
    <cellStyle name="Normal 41 3" xfId="1046" xr:uid="{00000000-0005-0000-0000-00001A040000}"/>
    <cellStyle name="Normal 41 3 2" xfId="1047" xr:uid="{00000000-0005-0000-0000-00001B040000}"/>
    <cellStyle name="Normal 41 4" xfId="1048" xr:uid="{00000000-0005-0000-0000-00001C040000}"/>
    <cellStyle name="Normal 42" xfId="1049" xr:uid="{00000000-0005-0000-0000-00001D040000}"/>
    <cellStyle name="Normal 42 2" xfId="1050" xr:uid="{00000000-0005-0000-0000-00001E040000}"/>
    <cellStyle name="Normal 42 2 2" xfId="1051" xr:uid="{00000000-0005-0000-0000-00001F040000}"/>
    <cellStyle name="Normal 42 2 2 2" xfId="1052" xr:uid="{00000000-0005-0000-0000-000020040000}"/>
    <cellStyle name="Normal 42 2 3" xfId="1053" xr:uid="{00000000-0005-0000-0000-000021040000}"/>
    <cellStyle name="Normal 42 3" xfId="1054" xr:uid="{00000000-0005-0000-0000-000022040000}"/>
    <cellStyle name="Normal 42 3 2" xfId="1055" xr:uid="{00000000-0005-0000-0000-000023040000}"/>
    <cellStyle name="Normal 42 4" xfId="1056" xr:uid="{00000000-0005-0000-0000-000024040000}"/>
    <cellStyle name="Normal 43" xfId="1057" xr:uid="{00000000-0005-0000-0000-000025040000}"/>
    <cellStyle name="Normal 43 2" xfId="1058" xr:uid="{00000000-0005-0000-0000-000026040000}"/>
    <cellStyle name="Normal 43 2 2" xfId="1059" xr:uid="{00000000-0005-0000-0000-000027040000}"/>
    <cellStyle name="Normal 43 2 2 2" xfId="1060" xr:uid="{00000000-0005-0000-0000-000028040000}"/>
    <cellStyle name="Normal 43 2 3" xfId="1061" xr:uid="{00000000-0005-0000-0000-000029040000}"/>
    <cellStyle name="Normal 43 3" xfId="1062" xr:uid="{00000000-0005-0000-0000-00002A040000}"/>
    <cellStyle name="Normal 43 3 2" xfId="1063" xr:uid="{00000000-0005-0000-0000-00002B040000}"/>
    <cellStyle name="Normal 43 4" xfId="1064" xr:uid="{00000000-0005-0000-0000-00002C040000}"/>
    <cellStyle name="Normal 44" xfId="1065" xr:uid="{00000000-0005-0000-0000-00002D040000}"/>
    <cellStyle name="Normal 44 2" xfId="1066" xr:uid="{00000000-0005-0000-0000-00002E040000}"/>
    <cellStyle name="Normal 44 2 2" xfId="1067" xr:uid="{00000000-0005-0000-0000-00002F040000}"/>
    <cellStyle name="Normal 44 2 2 2" xfId="1068" xr:uid="{00000000-0005-0000-0000-000030040000}"/>
    <cellStyle name="Normal 44 2 3" xfId="1069" xr:uid="{00000000-0005-0000-0000-000031040000}"/>
    <cellStyle name="Normal 44 3" xfId="1070" xr:uid="{00000000-0005-0000-0000-000032040000}"/>
    <cellStyle name="Normal 44 3 2" xfId="1071" xr:uid="{00000000-0005-0000-0000-000033040000}"/>
    <cellStyle name="Normal 44 4" xfId="1072" xr:uid="{00000000-0005-0000-0000-000034040000}"/>
    <cellStyle name="Normal 45" xfId="1073" xr:uid="{00000000-0005-0000-0000-000035040000}"/>
    <cellStyle name="Normal 45 2" xfId="1074" xr:uid="{00000000-0005-0000-0000-000036040000}"/>
    <cellStyle name="Normal 45 2 2" xfId="1075" xr:uid="{00000000-0005-0000-0000-000037040000}"/>
    <cellStyle name="Normal 45 2 2 2" xfId="1076" xr:uid="{00000000-0005-0000-0000-000038040000}"/>
    <cellStyle name="Normal 45 2 3" xfId="1077" xr:uid="{00000000-0005-0000-0000-000039040000}"/>
    <cellStyle name="Normal 45 3" xfId="1078" xr:uid="{00000000-0005-0000-0000-00003A040000}"/>
    <cellStyle name="Normal 45 3 2" xfId="1079" xr:uid="{00000000-0005-0000-0000-00003B040000}"/>
    <cellStyle name="Normal 45 4" xfId="1080" xr:uid="{00000000-0005-0000-0000-00003C040000}"/>
    <cellStyle name="Normal 46" xfId="1081" xr:uid="{00000000-0005-0000-0000-00003D040000}"/>
    <cellStyle name="Normal 46 2" xfId="1082" xr:uid="{00000000-0005-0000-0000-00003E040000}"/>
    <cellStyle name="Normal 46 2 2" xfId="1083" xr:uid="{00000000-0005-0000-0000-00003F040000}"/>
    <cellStyle name="Normal 46 2 2 2" xfId="1084" xr:uid="{00000000-0005-0000-0000-000040040000}"/>
    <cellStyle name="Normal 46 2 3" xfId="1085" xr:uid="{00000000-0005-0000-0000-000041040000}"/>
    <cellStyle name="Normal 46 3" xfId="1086" xr:uid="{00000000-0005-0000-0000-000042040000}"/>
    <cellStyle name="Normal 46 3 2" xfId="1087" xr:uid="{00000000-0005-0000-0000-000043040000}"/>
    <cellStyle name="Normal 46 4" xfId="1088" xr:uid="{00000000-0005-0000-0000-000044040000}"/>
    <cellStyle name="Normal 47" xfId="1089" xr:uid="{00000000-0005-0000-0000-000045040000}"/>
    <cellStyle name="Normal 47 2" xfId="1090" xr:uid="{00000000-0005-0000-0000-000046040000}"/>
    <cellStyle name="Normal 47 2 2" xfId="1091" xr:uid="{00000000-0005-0000-0000-000047040000}"/>
    <cellStyle name="Normal 47 3" xfId="1092" xr:uid="{00000000-0005-0000-0000-000048040000}"/>
    <cellStyle name="Normal 48" xfId="1093" xr:uid="{00000000-0005-0000-0000-000049040000}"/>
    <cellStyle name="Normal 48 2" xfId="1094" xr:uid="{00000000-0005-0000-0000-00004A040000}"/>
    <cellStyle name="Normal 48 2 2" xfId="1095" xr:uid="{00000000-0005-0000-0000-00004B040000}"/>
    <cellStyle name="Normal 48 3" xfId="1096" xr:uid="{00000000-0005-0000-0000-00004C040000}"/>
    <cellStyle name="Normal 49" xfId="1097" xr:uid="{00000000-0005-0000-0000-00004D040000}"/>
    <cellStyle name="Normal 49 2" xfId="1098" xr:uid="{00000000-0005-0000-0000-00004E040000}"/>
    <cellStyle name="Normal 49 2 2" xfId="1099" xr:uid="{00000000-0005-0000-0000-00004F040000}"/>
    <cellStyle name="Normal 49 3" xfId="1100" xr:uid="{00000000-0005-0000-0000-000050040000}"/>
    <cellStyle name="Normal 5" xfId="1101" xr:uid="{00000000-0005-0000-0000-000051040000}"/>
    <cellStyle name="Normal 5 2" xfId="1102" xr:uid="{00000000-0005-0000-0000-000052040000}"/>
    <cellStyle name="Normal 5 2 2" xfId="1103" xr:uid="{00000000-0005-0000-0000-000053040000}"/>
    <cellStyle name="Normal 5 2 2 2" xfId="1104" xr:uid="{00000000-0005-0000-0000-000054040000}"/>
    <cellStyle name="Normal 5 2 2 2 2" xfId="1105" xr:uid="{00000000-0005-0000-0000-000055040000}"/>
    <cellStyle name="Normal 5 2 2 2 2 2" xfId="1106" xr:uid="{00000000-0005-0000-0000-000056040000}"/>
    <cellStyle name="Normal 5 2 2 2 3" xfId="1107" xr:uid="{00000000-0005-0000-0000-000057040000}"/>
    <cellStyle name="Normal 5 2 2 3" xfId="1108" xr:uid="{00000000-0005-0000-0000-000058040000}"/>
    <cellStyle name="Normal 5 2 2 3 2" xfId="1109" xr:uid="{00000000-0005-0000-0000-000059040000}"/>
    <cellStyle name="Normal 5 2 2 4" xfId="1110" xr:uid="{00000000-0005-0000-0000-00005A040000}"/>
    <cellStyle name="Normal 5 2 3" xfId="1111" xr:uid="{00000000-0005-0000-0000-00005B040000}"/>
    <cellStyle name="Normal 5 2 3 2" xfId="1112" xr:uid="{00000000-0005-0000-0000-00005C040000}"/>
    <cellStyle name="Normal 5 2 3 2 2" xfId="1113" xr:uid="{00000000-0005-0000-0000-00005D040000}"/>
    <cellStyle name="Normal 5 2 3 3" xfId="1114" xr:uid="{00000000-0005-0000-0000-00005E040000}"/>
    <cellStyle name="Normal 5 2 4" xfId="1115" xr:uid="{00000000-0005-0000-0000-00005F040000}"/>
    <cellStyle name="Normal 5 2 4 2" xfId="1116" xr:uid="{00000000-0005-0000-0000-000060040000}"/>
    <cellStyle name="Normal 5 2 5" xfId="1117" xr:uid="{00000000-0005-0000-0000-000061040000}"/>
    <cellStyle name="Normal 5 3" xfId="1118" xr:uid="{00000000-0005-0000-0000-000062040000}"/>
    <cellStyle name="Normal 5 3 2" xfId="1119" xr:uid="{00000000-0005-0000-0000-000063040000}"/>
    <cellStyle name="Normal 5 3 2 2" xfId="1120" xr:uid="{00000000-0005-0000-0000-000064040000}"/>
    <cellStyle name="Normal 5 3 2 2 2" xfId="1121" xr:uid="{00000000-0005-0000-0000-000065040000}"/>
    <cellStyle name="Normal 5 3 2 3" xfId="1122" xr:uid="{00000000-0005-0000-0000-000066040000}"/>
    <cellStyle name="Normal 5 3 3" xfId="1123" xr:uid="{00000000-0005-0000-0000-000067040000}"/>
    <cellStyle name="Normal 5 3 3 2" xfId="1124" xr:uid="{00000000-0005-0000-0000-000068040000}"/>
    <cellStyle name="Normal 5 3 4" xfId="1125" xr:uid="{00000000-0005-0000-0000-000069040000}"/>
    <cellStyle name="Normal 5 4" xfId="1126" xr:uid="{00000000-0005-0000-0000-00006A040000}"/>
    <cellStyle name="Normal 5 4 2" xfId="1127" xr:uid="{00000000-0005-0000-0000-00006B040000}"/>
    <cellStyle name="Normal 5 4 2 2" xfId="1128" xr:uid="{00000000-0005-0000-0000-00006C040000}"/>
    <cellStyle name="Normal 5 4 3" xfId="1129" xr:uid="{00000000-0005-0000-0000-00006D040000}"/>
    <cellStyle name="Normal 5 5" xfId="1130" xr:uid="{00000000-0005-0000-0000-00006E040000}"/>
    <cellStyle name="Normal 5 5 2" xfId="1131" xr:uid="{00000000-0005-0000-0000-00006F040000}"/>
    <cellStyle name="Normal 5 6" xfId="1132" xr:uid="{00000000-0005-0000-0000-000070040000}"/>
    <cellStyle name="Normal 50" xfId="1133" xr:uid="{00000000-0005-0000-0000-000071040000}"/>
    <cellStyle name="Normal 50 2" xfId="1134" xr:uid="{00000000-0005-0000-0000-000072040000}"/>
    <cellStyle name="Normal 50 2 2" xfId="1135" xr:uid="{00000000-0005-0000-0000-000073040000}"/>
    <cellStyle name="Normal 50 3" xfId="1136" xr:uid="{00000000-0005-0000-0000-000074040000}"/>
    <cellStyle name="Normal 51" xfId="1137" xr:uid="{00000000-0005-0000-0000-000075040000}"/>
    <cellStyle name="Normal 51 2" xfId="1138" xr:uid="{00000000-0005-0000-0000-000076040000}"/>
    <cellStyle name="Normal 51 2 2" xfId="1139" xr:uid="{00000000-0005-0000-0000-000077040000}"/>
    <cellStyle name="Normal 51 3" xfId="1140" xr:uid="{00000000-0005-0000-0000-000078040000}"/>
    <cellStyle name="Normal 52" xfId="1141" xr:uid="{00000000-0005-0000-0000-000079040000}"/>
    <cellStyle name="Normal 52 2" xfId="1142" xr:uid="{00000000-0005-0000-0000-00007A040000}"/>
    <cellStyle name="Normal 52 2 2" xfId="1143" xr:uid="{00000000-0005-0000-0000-00007B040000}"/>
    <cellStyle name="Normal 52 3" xfId="1144" xr:uid="{00000000-0005-0000-0000-00007C040000}"/>
    <cellStyle name="Normal 53" xfId="1145" xr:uid="{00000000-0005-0000-0000-00007D040000}"/>
    <cellStyle name="Normal 53 2" xfId="1146" xr:uid="{00000000-0005-0000-0000-00007E040000}"/>
    <cellStyle name="Normal 54" xfId="1147" xr:uid="{00000000-0005-0000-0000-00007F040000}"/>
    <cellStyle name="Normal 54 2" xfId="1148" xr:uid="{00000000-0005-0000-0000-000080040000}"/>
    <cellStyle name="Normal 55" xfId="1149" xr:uid="{00000000-0005-0000-0000-000081040000}"/>
    <cellStyle name="Normal 55 2" xfId="1150" xr:uid="{00000000-0005-0000-0000-000082040000}"/>
    <cellStyle name="Normal 56" xfId="1151" xr:uid="{00000000-0005-0000-0000-000083040000}"/>
    <cellStyle name="Normal 57" xfId="1152" xr:uid="{00000000-0005-0000-0000-000084040000}"/>
    <cellStyle name="Normal 58" xfId="1153" xr:uid="{00000000-0005-0000-0000-000085040000}"/>
    <cellStyle name="Normal 59" xfId="1154" xr:uid="{00000000-0005-0000-0000-000086040000}"/>
    <cellStyle name="Normal 6" xfId="1155" xr:uid="{00000000-0005-0000-0000-000087040000}"/>
    <cellStyle name="Normal 6 2" xfId="1156" xr:uid="{00000000-0005-0000-0000-000088040000}"/>
    <cellStyle name="Normal 6 2 2" xfId="1157" xr:uid="{00000000-0005-0000-0000-000089040000}"/>
    <cellStyle name="Normal 6 2 2 2" xfId="1158" xr:uid="{00000000-0005-0000-0000-00008A040000}"/>
    <cellStyle name="Normal 6 2 2 2 2" xfId="1159" xr:uid="{00000000-0005-0000-0000-00008B040000}"/>
    <cellStyle name="Normal 6 2 2 2 2 2" xfId="1160" xr:uid="{00000000-0005-0000-0000-00008C040000}"/>
    <cellStyle name="Normal 6 2 2 2 2 2 2" xfId="1161" xr:uid="{00000000-0005-0000-0000-00008D040000}"/>
    <cellStyle name="Normal 6 2 2 2 2 3" xfId="1162" xr:uid="{00000000-0005-0000-0000-00008E040000}"/>
    <cellStyle name="Normal 6 2 2 2 3" xfId="1163" xr:uid="{00000000-0005-0000-0000-00008F040000}"/>
    <cellStyle name="Normal 6 2 2 2 3 2" xfId="1164" xr:uid="{00000000-0005-0000-0000-000090040000}"/>
    <cellStyle name="Normal 6 2 2 2 4" xfId="1165" xr:uid="{00000000-0005-0000-0000-000091040000}"/>
    <cellStyle name="Normal 6 2 2 3" xfId="1166" xr:uid="{00000000-0005-0000-0000-000092040000}"/>
    <cellStyle name="Normal 6 2 2 3 2" xfId="1167" xr:uid="{00000000-0005-0000-0000-000093040000}"/>
    <cellStyle name="Normal 6 2 2 3 2 2" xfId="1168" xr:uid="{00000000-0005-0000-0000-000094040000}"/>
    <cellStyle name="Normal 6 2 2 3 3" xfId="1169" xr:uid="{00000000-0005-0000-0000-000095040000}"/>
    <cellStyle name="Normal 6 2 2 4" xfId="1170" xr:uid="{00000000-0005-0000-0000-000096040000}"/>
    <cellStyle name="Normal 6 2 2 4 2" xfId="1171" xr:uid="{00000000-0005-0000-0000-000097040000}"/>
    <cellStyle name="Normal 6 2 2 5" xfId="1172" xr:uid="{00000000-0005-0000-0000-000098040000}"/>
    <cellStyle name="Normal 6 2 3" xfId="1173" xr:uid="{00000000-0005-0000-0000-000099040000}"/>
    <cellStyle name="Normal 6 2 3 2" xfId="1174" xr:uid="{00000000-0005-0000-0000-00009A040000}"/>
    <cellStyle name="Normal 6 2 3 2 2" xfId="1175" xr:uid="{00000000-0005-0000-0000-00009B040000}"/>
    <cellStyle name="Normal 6 2 3 2 2 2" xfId="1176" xr:uid="{00000000-0005-0000-0000-00009C040000}"/>
    <cellStyle name="Normal 6 2 3 2 3" xfId="1177" xr:uid="{00000000-0005-0000-0000-00009D040000}"/>
    <cellStyle name="Normal 6 2 3 3" xfId="1178" xr:uid="{00000000-0005-0000-0000-00009E040000}"/>
    <cellStyle name="Normal 6 2 3 3 2" xfId="1179" xr:uid="{00000000-0005-0000-0000-00009F040000}"/>
    <cellStyle name="Normal 6 2 3 4" xfId="1180" xr:uid="{00000000-0005-0000-0000-0000A0040000}"/>
    <cellStyle name="Normal 6 2 4" xfId="1181" xr:uid="{00000000-0005-0000-0000-0000A1040000}"/>
    <cellStyle name="Normal 6 2 4 2" xfId="1182" xr:uid="{00000000-0005-0000-0000-0000A2040000}"/>
    <cellStyle name="Normal 6 2 4 2 2" xfId="1183" xr:uid="{00000000-0005-0000-0000-0000A3040000}"/>
    <cellStyle name="Normal 6 2 4 3" xfId="1184" xr:uid="{00000000-0005-0000-0000-0000A4040000}"/>
    <cellStyle name="Normal 6 2 5" xfId="1185" xr:uid="{00000000-0005-0000-0000-0000A5040000}"/>
    <cellStyle name="Normal 6 2 5 2" xfId="1186" xr:uid="{00000000-0005-0000-0000-0000A6040000}"/>
    <cellStyle name="Normal 6 2 6" xfId="1187" xr:uid="{00000000-0005-0000-0000-0000A7040000}"/>
    <cellStyle name="Normal 6 3" xfId="1188" xr:uid="{00000000-0005-0000-0000-0000A8040000}"/>
    <cellStyle name="Normal 6 3 2" xfId="1189" xr:uid="{00000000-0005-0000-0000-0000A9040000}"/>
    <cellStyle name="Normal 6 3 2 2" xfId="1190" xr:uid="{00000000-0005-0000-0000-0000AA040000}"/>
    <cellStyle name="Normal 6 3 2 2 2" xfId="1191" xr:uid="{00000000-0005-0000-0000-0000AB040000}"/>
    <cellStyle name="Normal 6 3 2 2 2 2" xfId="1192" xr:uid="{00000000-0005-0000-0000-0000AC040000}"/>
    <cellStyle name="Normal 6 3 2 2 3" xfId="1193" xr:uid="{00000000-0005-0000-0000-0000AD040000}"/>
    <cellStyle name="Normal 6 3 2 3" xfId="1194" xr:uid="{00000000-0005-0000-0000-0000AE040000}"/>
    <cellStyle name="Normal 6 3 2 3 2" xfId="1195" xr:uid="{00000000-0005-0000-0000-0000AF040000}"/>
    <cellStyle name="Normal 6 3 2 4" xfId="1196" xr:uid="{00000000-0005-0000-0000-0000B0040000}"/>
    <cellStyle name="Normal 6 3 3" xfId="1197" xr:uid="{00000000-0005-0000-0000-0000B1040000}"/>
    <cellStyle name="Normal 6 3 3 2" xfId="1198" xr:uid="{00000000-0005-0000-0000-0000B2040000}"/>
    <cellStyle name="Normal 6 3 3 2 2" xfId="1199" xr:uid="{00000000-0005-0000-0000-0000B3040000}"/>
    <cellStyle name="Normal 6 3 3 3" xfId="1200" xr:uid="{00000000-0005-0000-0000-0000B4040000}"/>
    <cellStyle name="Normal 6 3 4" xfId="1201" xr:uid="{00000000-0005-0000-0000-0000B5040000}"/>
    <cellStyle name="Normal 6 3 4 2" xfId="1202" xr:uid="{00000000-0005-0000-0000-0000B6040000}"/>
    <cellStyle name="Normal 6 3 5" xfId="1203" xr:uid="{00000000-0005-0000-0000-0000B7040000}"/>
    <cellStyle name="Normal 6 4" xfId="1204" xr:uid="{00000000-0005-0000-0000-0000B8040000}"/>
    <cellStyle name="Normal 6 4 2" xfId="1205" xr:uid="{00000000-0005-0000-0000-0000B9040000}"/>
    <cellStyle name="Normal 6 4 2 2" xfId="1206" xr:uid="{00000000-0005-0000-0000-0000BA040000}"/>
    <cellStyle name="Normal 6 4 2 2 2" xfId="1207" xr:uid="{00000000-0005-0000-0000-0000BB040000}"/>
    <cellStyle name="Normal 6 4 2 3" xfId="1208" xr:uid="{00000000-0005-0000-0000-0000BC040000}"/>
    <cellStyle name="Normal 6 4 3" xfId="1209" xr:uid="{00000000-0005-0000-0000-0000BD040000}"/>
    <cellStyle name="Normal 6 4 3 2" xfId="1210" xr:uid="{00000000-0005-0000-0000-0000BE040000}"/>
    <cellStyle name="Normal 6 4 4" xfId="1211" xr:uid="{00000000-0005-0000-0000-0000BF040000}"/>
    <cellStyle name="Normal 6 5" xfId="1212" xr:uid="{00000000-0005-0000-0000-0000C0040000}"/>
    <cellStyle name="Normal 6 5 2" xfId="1213" xr:uid="{00000000-0005-0000-0000-0000C1040000}"/>
    <cellStyle name="Normal 6 5 2 2" xfId="1214" xr:uid="{00000000-0005-0000-0000-0000C2040000}"/>
    <cellStyle name="Normal 6 5 2 2 2" xfId="1215" xr:uid="{00000000-0005-0000-0000-0000C3040000}"/>
    <cellStyle name="Normal 6 5 2 3" xfId="1216" xr:uid="{00000000-0005-0000-0000-0000C4040000}"/>
    <cellStyle name="Normal 6 5 3" xfId="1217" xr:uid="{00000000-0005-0000-0000-0000C5040000}"/>
    <cellStyle name="Normal 6 5 3 2" xfId="1218" xr:uid="{00000000-0005-0000-0000-0000C6040000}"/>
    <cellStyle name="Normal 6 5 4" xfId="1219" xr:uid="{00000000-0005-0000-0000-0000C7040000}"/>
    <cellStyle name="Normal 6 6" xfId="1220" xr:uid="{00000000-0005-0000-0000-0000C8040000}"/>
    <cellStyle name="Normal 6 6 2" xfId="1221" xr:uid="{00000000-0005-0000-0000-0000C9040000}"/>
    <cellStyle name="Normal 6 6 2 2" xfId="1222" xr:uid="{00000000-0005-0000-0000-0000CA040000}"/>
    <cellStyle name="Normal 6 6 3" xfId="1223" xr:uid="{00000000-0005-0000-0000-0000CB040000}"/>
    <cellStyle name="Normal 6 7" xfId="1224" xr:uid="{00000000-0005-0000-0000-0000CC040000}"/>
    <cellStyle name="Normal 6 7 2" xfId="1225" xr:uid="{00000000-0005-0000-0000-0000CD040000}"/>
    <cellStyle name="Normal 6 8" xfId="1226" xr:uid="{00000000-0005-0000-0000-0000CE040000}"/>
    <cellStyle name="Normal 60" xfId="1227" xr:uid="{00000000-0005-0000-0000-0000CF040000}"/>
    <cellStyle name="Normal 61" xfId="1485" xr:uid="{00000000-0005-0000-0000-0000D0040000}"/>
    <cellStyle name="Normal 61 2" xfId="1486" xr:uid="{D4400CF6-51BA-4AAA-A3F8-EE251B6611D9}"/>
    <cellStyle name="Normal 62" xfId="1488" xr:uid="{B0474608-36B4-47F1-A7DF-6DF3DE669420}"/>
    <cellStyle name="Normal 7" xfId="1228" xr:uid="{00000000-0005-0000-0000-0000D1040000}"/>
    <cellStyle name="Normal 7 2" xfId="1229" xr:uid="{00000000-0005-0000-0000-0000D2040000}"/>
    <cellStyle name="Normal 7 2 2" xfId="1230" xr:uid="{00000000-0005-0000-0000-0000D3040000}"/>
    <cellStyle name="Normal 7 2 2 2" xfId="1231" xr:uid="{00000000-0005-0000-0000-0000D4040000}"/>
    <cellStyle name="Normal 7 2 2 2 2" xfId="1232" xr:uid="{00000000-0005-0000-0000-0000D5040000}"/>
    <cellStyle name="Normal 7 2 2 2 2 2" xfId="1233" xr:uid="{00000000-0005-0000-0000-0000D6040000}"/>
    <cellStyle name="Normal 7 2 2 2 3" xfId="1234" xr:uid="{00000000-0005-0000-0000-0000D7040000}"/>
    <cellStyle name="Normal 7 2 2 3" xfId="1235" xr:uid="{00000000-0005-0000-0000-0000D8040000}"/>
    <cellStyle name="Normal 7 2 2 3 2" xfId="1236" xr:uid="{00000000-0005-0000-0000-0000D9040000}"/>
    <cellStyle name="Normal 7 2 2 4" xfId="1237" xr:uid="{00000000-0005-0000-0000-0000DA040000}"/>
    <cellStyle name="Normal 7 2 3" xfId="1238" xr:uid="{00000000-0005-0000-0000-0000DB040000}"/>
    <cellStyle name="Normal 7 2 3 2" xfId="1239" xr:uid="{00000000-0005-0000-0000-0000DC040000}"/>
    <cellStyle name="Normal 7 2 3 2 2" xfId="1240" xr:uid="{00000000-0005-0000-0000-0000DD040000}"/>
    <cellStyle name="Normal 7 2 3 3" xfId="1241" xr:uid="{00000000-0005-0000-0000-0000DE040000}"/>
    <cellStyle name="Normal 7 2 4" xfId="1242" xr:uid="{00000000-0005-0000-0000-0000DF040000}"/>
    <cellStyle name="Normal 7 2 4 2" xfId="1243" xr:uid="{00000000-0005-0000-0000-0000E0040000}"/>
    <cellStyle name="Normal 7 2 5" xfId="1244" xr:uid="{00000000-0005-0000-0000-0000E1040000}"/>
    <cellStyle name="Normal 7 3" xfId="1245" xr:uid="{00000000-0005-0000-0000-0000E2040000}"/>
    <cellStyle name="Normal 7 3 2" xfId="1246" xr:uid="{00000000-0005-0000-0000-0000E3040000}"/>
    <cellStyle name="Normal 7 3 2 2" xfId="1247" xr:uid="{00000000-0005-0000-0000-0000E4040000}"/>
    <cellStyle name="Normal 7 3 2 2 2" xfId="1248" xr:uid="{00000000-0005-0000-0000-0000E5040000}"/>
    <cellStyle name="Normal 7 3 2 3" xfId="1249" xr:uid="{00000000-0005-0000-0000-0000E6040000}"/>
    <cellStyle name="Normal 7 3 3" xfId="1250" xr:uid="{00000000-0005-0000-0000-0000E7040000}"/>
    <cellStyle name="Normal 7 3 3 2" xfId="1251" xr:uid="{00000000-0005-0000-0000-0000E8040000}"/>
    <cellStyle name="Normal 7 3 4" xfId="1252" xr:uid="{00000000-0005-0000-0000-0000E9040000}"/>
    <cellStyle name="Normal 7 4" xfId="1253" xr:uid="{00000000-0005-0000-0000-0000EA040000}"/>
    <cellStyle name="Normal 7 4 2" xfId="1254" xr:uid="{00000000-0005-0000-0000-0000EB040000}"/>
    <cellStyle name="Normal 7 4 2 2" xfId="1255" xr:uid="{00000000-0005-0000-0000-0000EC040000}"/>
    <cellStyle name="Normal 7 4 3" xfId="1256" xr:uid="{00000000-0005-0000-0000-0000ED040000}"/>
    <cellStyle name="Normal 7 5" xfId="1257" xr:uid="{00000000-0005-0000-0000-0000EE040000}"/>
    <cellStyle name="Normal 7 5 2" xfId="1258" xr:uid="{00000000-0005-0000-0000-0000EF040000}"/>
    <cellStyle name="Normal 7 6" xfId="1259" xr:uid="{00000000-0005-0000-0000-0000F0040000}"/>
    <cellStyle name="Normal 8" xfId="1260" xr:uid="{00000000-0005-0000-0000-0000F1040000}"/>
    <cellStyle name="Normal 8 2" xfId="1261" xr:uid="{00000000-0005-0000-0000-0000F2040000}"/>
    <cellStyle name="Normal 8 2 2" xfId="1262" xr:uid="{00000000-0005-0000-0000-0000F3040000}"/>
    <cellStyle name="Normal 8 2 2 2" xfId="1263" xr:uid="{00000000-0005-0000-0000-0000F4040000}"/>
    <cellStyle name="Normal 8 2 2 2 2" xfId="1264" xr:uid="{00000000-0005-0000-0000-0000F5040000}"/>
    <cellStyle name="Normal 8 2 2 2 2 2" xfId="1265" xr:uid="{00000000-0005-0000-0000-0000F6040000}"/>
    <cellStyle name="Normal 8 2 2 2 2 2 2" xfId="1266" xr:uid="{00000000-0005-0000-0000-0000F7040000}"/>
    <cellStyle name="Normal 8 2 2 2 2 3" xfId="1267" xr:uid="{00000000-0005-0000-0000-0000F8040000}"/>
    <cellStyle name="Normal 8 2 2 2 3" xfId="1268" xr:uid="{00000000-0005-0000-0000-0000F9040000}"/>
    <cellStyle name="Normal 8 2 2 2 3 2" xfId="1269" xr:uid="{00000000-0005-0000-0000-0000FA040000}"/>
    <cellStyle name="Normal 8 2 2 2 4" xfId="1270" xr:uid="{00000000-0005-0000-0000-0000FB040000}"/>
    <cellStyle name="Normal 8 2 2 3" xfId="1271" xr:uid="{00000000-0005-0000-0000-0000FC040000}"/>
    <cellStyle name="Normal 8 2 2 3 2" xfId="1272" xr:uid="{00000000-0005-0000-0000-0000FD040000}"/>
    <cellStyle name="Normal 8 2 2 3 2 2" xfId="1273" xr:uid="{00000000-0005-0000-0000-0000FE040000}"/>
    <cellStyle name="Normal 8 2 2 3 3" xfId="1274" xr:uid="{00000000-0005-0000-0000-0000FF040000}"/>
    <cellStyle name="Normal 8 2 2 4" xfId="1275" xr:uid="{00000000-0005-0000-0000-000000050000}"/>
    <cellStyle name="Normal 8 2 2 4 2" xfId="1276" xr:uid="{00000000-0005-0000-0000-000001050000}"/>
    <cellStyle name="Normal 8 2 2 5" xfId="1277" xr:uid="{00000000-0005-0000-0000-000002050000}"/>
    <cellStyle name="Normal 8 2 3" xfId="1278" xr:uid="{00000000-0005-0000-0000-000003050000}"/>
    <cellStyle name="Normal 8 2 3 2" xfId="1279" xr:uid="{00000000-0005-0000-0000-000004050000}"/>
    <cellStyle name="Normal 8 2 3 2 2" xfId="1280" xr:uid="{00000000-0005-0000-0000-000005050000}"/>
    <cellStyle name="Normal 8 2 3 2 2 2" xfId="1281" xr:uid="{00000000-0005-0000-0000-000006050000}"/>
    <cellStyle name="Normal 8 2 3 2 3" xfId="1282" xr:uid="{00000000-0005-0000-0000-000007050000}"/>
    <cellStyle name="Normal 8 2 3 3" xfId="1283" xr:uid="{00000000-0005-0000-0000-000008050000}"/>
    <cellStyle name="Normal 8 2 3 3 2" xfId="1284" xr:uid="{00000000-0005-0000-0000-000009050000}"/>
    <cellStyle name="Normal 8 2 3 4" xfId="1285" xr:uid="{00000000-0005-0000-0000-00000A050000}"/>
    <cellStyle name="Normal 8 2 4" xfId="1286" xr:uid="{00000000-0005-0000-0000-00000B050000}"/>
    <cellStyle name="Normal 8 2 4 2" xfId="1287" xr:uid="{00000000-0005-0000-0000-00000C050000}"/>
    <cellStyle name="Normal 8 2 4 2 2" xfId="1288" xr:uid="{00000000-0005-0000-0000-00000D050000}"/>
    <cellStyle name="Normal 8 2 4 3" xfId="1289" xr:uid="{00000000-0005-0000-0000-00000E050000}"/>
    <cellStyle name="Normal 8 2 5" xfId="1290" xr:uid="{00000000-0005-0000-0000-00000F050000}"/>
    <cellStyle name="Normal 8 2 5 2" xfId="1291" xr:uid="{00000000-0005-0000-0000-000010050000}"/>
    <cellStyle name="Normal 8 2 6" xfId="1292" xr:uid="{00000000-0005-0000-0000-000011050000}"/>
    <cellStyle name="Normal 8 3" xfId="1293" xr:uid="{00000000-0005-0000-0000-000012050000}"/>
    <cellStyle name="Normal 8 3 2" xfId="1294" xr:uid="{00000000-0005-0000-0000-000013050000}"/>
    <cellStyle name="Normal 8 3 2 2" xfId="1295" xr:uid="{00000000-0005-0000-0000-000014050000}"/>
    <cellStyle name="Normal 8 3 2 2 2" xfId="1296" xr:uid="{00000000-0005-0000-0000-000015050000}"/>
    <cellStyle name="Normal 8 3 2 2 2 2" xfId="1297" xr:uid="{00000000-0005-0000-0000-000016050000}"/>
    <cellStyle name="Normal 8 3 2 2 3" xfId="1298" xr:uid="{00000000-0005-0000-0000-000017050000}"/>
    <cellStyle name="Normal 8 3 2 3" xfId="1299" xr:uid="{00000000-0005-0000-0000-000018050000}"/>
    <cellStyle name="Normal 8 3 2 3 2" xfId="1300" xr:uid="{00000000-0005-0000-0000-000019050000}"/>
    <cellStyle name="Normal 8 3 2 4" xfId="1301" xr:uid="{00000000-0005-0000-0000-00001A050000}"/>
    <cellStyle name="Normal 8 3 3" xfId="1302" xr:uid="{00000000-0005-0000-0000-00001B050000}"/>
    <cellStyle name="Normal 8 3 3 2" xfId="1303" xr:uid="{00000000-0005-0000-0000-00001C050000}"/>
    <cellStyle name="Normal 8 3 3 2 2" xfId="1304" xr:uid="{00000000-0005-0000-0000-00001D050000}"/>
    <cellStyle name="Normal 8 3 3 3" xfId="1305" xr:uid="{00000000-0005-0000-0000-00001E050000}"/>
    <cellStyle name="Normal 8 3 4" xfId="1306" xr:uid="{00000000-0005-0000-0000-00001F050000}"/>
    <cellStyle name="Normal 8 3 4 2" xfId="1307" xr:uid="{00000000-0005-0000-0000-000020050000}"/>
    <cellStyle name="Normal 8 3 5" xfId="1308" xr:uid="{00000000-0005-0000-0000-000021050000}"/>
    <cellStyle name="Normal 8 4" xfId="1309" xr:uid="{00000000-0005-0000-0000-000022050000}"/>
    <cellStyle name="Normal 8 4 2" xfId="1310" xr:uid="{00000000-0005-0000-0000-000023050000}"/>
    <cellStyle name="Normal 8 4 2 2" xfId="1311" xr:uid="{00000000-0005-0000-0000-000024050000}"/>
    <cellStyle name="Normal 8 4 2 2 2" xfId="1312" xr:uid="{00000000-0005-0000-0000-000025050000}"/>
    <cellStyle name="Normal 8 4 2 3" xfId="1313" xr:uid="{00000000-0005-0000-0000-000026050000}"/>
    <cellStyle name="Normal 8 4 3" xfId="1314" xr:uid="{00000000-0005-0000-0000-000027050000}"/>
    <cellStyle name="Normal 8 4 3 2" xfId="1315" xr:uid="{00000000-0005-0000-0000-000028050000}"/>
    <cellStyle name="Normal 8 4 4" xfId="1316" xr:uid="{00000000-0005-0000-0000-000029050000}"/>
    <cellStyle name="Normal 8 5" xfId="1317" xr:uid="{00000000-0005-0000-0000-00002A050000}"/>
    <cellStyle name="Normal 8 5 2" xfId="1318" xr:uid="{00000000-0005-0000-0000-00002B050000}"/>
    <cellStyle name="Normal 8 5 2 2" xfId="1319" xr:uid="{00000000-0005-0000-0000-00002C050000}"/>
    <cellStyle name="Normal 8 5 3" xfId="1320" xr:uid="{00000000-0005-0000-0000-00002D050000}"/>
    <cellStyle name="Normal 8 6" xfId="1321" xr:uid="{00000000-0005-0000-0000-00002E050000}"/>
    <cellStyle name="Normal 8 6 2" xfId="1322" xr:uid="{00000000-0005-0000-0000-00002F050000}"/>
    <cellStyle name="Normal 8 7" xfId="1323" xr:uid="{00000000-0005-0000-0000-000030050000}"/>
    <cellStyle name="Normal 9" xfId="1324" xr:uid="{00000000-0005-0000-0000-000031050000}"/>
    <cellStyle name="Normal 9 2" xfId="1325" xr:uid="{00000000-0005-0000-0000-000032050000}"/>
    <cellStyle name="Normal 9 2 2" xfId="1326" xr:uid="{00000000-0005-0000-0000-000033050000}"/>
    <cellStyle name="Normal 9 2 2 2" xfId="1327" xr:uid="{00000000-0005-0000-0000-000034050000}"/>
    <cellStyle name="Normal 9 2 2 2 2" xfId="1328" xr:uid="{00000000-0005-0000-0000-000035050000}"/>
    <cellStyle name="Normal 9 2 2 2 2 2" xfId="1329" xr:uid="{00000000-0005-0000-0000-000036050000}"/>
    <cellStyle name="Normal 9 2 2 2 2 2 2" xfId="1330" xr:uid="{00000000-0005-0000-0000-000037050000}"/>
    <cellStyle name="Normal 9 2 2 2 2 3" xfId="1331" xr:uid="{00000000-0005-0000-0000-000038050000}"/>
    <cellStyle name="Normal 9 2 2 2 3" xfId="1332" xr:uid="{00000000-0005-0000-0000-000039050000}"/>
    <cellStyle name="Normal 9 2 2 2 3 2" xfId="1333" xr:uid="{00000000-0005-0000-0000-00003A050000}"/>
    <cellStyle name="Normal 9 2 2 2 4" xfId="1334" xr:uid="{00000000-0005-0000-0000-00003B050000}"/>
    <cellStyle name="Normal 9 2 2 3" xfId="1335" xr:uid="{00000000-0005-0000-0000-00003C050000}"/>
    <cellStyle name="Normal 9 2 2 3 2" xfId="1336" xr:uid="{00000000-0005-0000-0000-00003D050000}"/>
    <cellStyle name="Normal 9 2 2 3 2 2" xfId="1337" xr:uid="{00000000-0005-0000-0000-00003E050000}"/>
    <cellStyle name="Normal 9 2 2 3 3" xfId="1338" xr:uid="{00000000-0005-0000-0000-00003F050000}"/>
    <cellStyle name="Normal 9 2 2 4" xfId="1339" xr:uid="{00000000-0005-0000-0000-000040050000}"/>
    <cellStyle name="Normal 9 2 2 4 2" xfId="1340" xr:uid="{00000000-0005-0000-0000-000041050000}"/>
    <cellStyle name="Normal 9 2 2 5" xfId="1341" xr:uid="{00000000-0005-0000-0000-000042050000}"/>
    <cellStyle name="Normal 9 2 3" xfId="1342" xr:uid="{00000000-0005-0000-0000-000043050000}"/>
    <cellStyle name="Normal 9 2 3 2" xfId="1343" xr:uid="{00000000-0005-0000-0000-000044050000}"/>
    <cellStyle name="Normal 9 2 3 2 2" xfId="1344" xr:uid="{00000000-0005-0000-0000-000045050000}"/>
    <cellStyle name="Normal 9 2 3 2 2 2" xfId="1345" xr:uid="{00000000-0005-0000-0000-000046050000}"/>
    <cellStyle name="Normal 9 2 3 2 3" xfId="1346" xr:uid="{00000000-0005-0000-0000-000047050000}"/>
    <cellStyle name="Normal 9 2 3 3" xfId="1347" xr:uid="{00000000-0005-0000-0000-000048050000}"/>
    <cellStyle name="Normal 9 2 3 3 2" xfId="1348" xr:uid="{00000000-0005-0000-0000-000049050000}"/>
    <cellStyle name="Normal 9 2 3 4" xfId="1349" xr:uid="{00000000-0005-0000-0000-00004A050000}"/>
    <cellStyle name="Normal 9 2 4" xfId="1350" xr:uid="{00000000-0005-0000-0000-00004B050000}"/>
    <cellStyle name="Normal 9 2 4 2" xfId="1351" xr:uid="{00000000-0005-0000-0000-00004C050000}"/>
    <cellStyle name="Normal 9 2 4 2 2" xfId="1352" xr:uid="{00000000-0005-0000-0000-00004D050000}"/>
    <cellStyle name="Normal 9 2 4 3" xfId="1353" xr:uid="{00000000-0005-0000-0000-00004E050000}"/>
    <cellStyle name="Normal 9 2 5" xfId="1354" xr:uid="{00000000-0005-0000-0000-00004F050000}"/>
    <cellStyle name="Normal 9 2 5 2" xfId="1355" xr:uid="{00000000-0005-0000-0000-000050050000}"/>
    <cellStyle name="Normal 9 2 6" xfId="1356" xr:uid="{00000000-0005-0000-0000-000051050000}"/>
    <cellStyle name="Normal 9 3" xfId="1357" xr:uid="{00000000-0005-0000-0000-000052050000}"/>
    <cellStyle name="Normal 9 3 2" xfId="1358" xr:uid="{00000000-0005-0000-0000-000053050000}"/>
    <cellStyle name="Normal 9 3 2 2" xfId="1359" xr:uid="{00000000-0005-0000-0000-000054050000}"/>
    <cellStyle name="Normal 9 3 2 2 2" xfId="1360" xr:uid="{00000000-0005-0000-0000-000055050000}"/>
    <cellStyle name="Normal 9 3 2 2 2 2" xfId="1361" xr:uid="{00000000-0005-0000-0000-000056050000}"/>
    <cellStyle name="Normal 9 3 2 2 3" xfId="1362" xr:uid="{00000000-0005-0000-0000-000057050000}"/>
    <cellStyle name="Normal 9 3 2 3" xfId="1363" xr:uid="{00000000-0005-0000-0000-000058050000}"/>
    <cellStyle name="Normal 9 3 2 3 2" xfId="1364" xr:uid="{00000000-0005-0000-0000-000059050000}"/>
    <cellStyle name="Normal 9 3 2 4" xfId="1365" xr:uid="{00000000-0005-0000-0000-00005A050000}"/>
    <cellStyle name="Normal 9 3 3" xfId="1366" xr:uid="{00000000-0005-0000-0000-00005B050000}"/>
    <cellStyle name="Normal 9 3 3 2" xfId="1367" xr:uid="{00000000-0005-0000-0000-00005C050000}"/>
    <cellStyle name="Normal 9 3 3 2 2" xfId="1368" xr:uid="{00000000-0005-0000-0000-00005D050000}"/>
    <cellStyle name="Normal 9 3 3 3" xfId="1369" xr:uid="{00000000-0005-0000-0000-00005E050000}"/>
    <cellStyle name="Normal 9 3 4" xfId="1370" xr:uid="{00000000-0005-0000-0000-00005F050000}"/>
    <cellStyle name="Normal 9 3 4 2" xfId="1371" xr:uid="{00000000-0005-0000-0000-000060050000}"/>
    <cellStyle name="Normal 9 3 5" xfId="1372" xr:uid="{00000000-0005-0000-0000-000061050000}"/>
    <cellStyle name="Normal 9 4" xfId="1373" xr:uid="{00000000-0005-0000-0000-000062050000}"/>
    <cellStyle name="Normal 9 4 2" xfId="1374" xr:uid="{00000000-0005-0000-0000-000063050000}"/>
    <cellStyle name="Normal 9 4 2 2" xfId="1375" xr:uid="{00000000-0005-0000-0000-000064050000}"/>
    <cellStyle name="Normal 9 4 2 2 2" xfId="1376" xr:uid="{00000000-0005-0000-0000-000065050000}"/>
    <cellStyle name="Normal 9 4 2 3" xfId="1377" xr:uid="{00000000-0005-0000-0000-000066050000}"/>
    <cellStyle name="Normal 9 4 3" xfId="1378" xr:uid="{00000000-0005-0000-0000-000067050000}"/>
    <cellStyle name="Normal 9 4 3 2" xfId="1379" xr:uid="{00000000-0005-0000-0000-000068050000}"/>
    <cellStyle name="Normal 9 4 4" xfId="1380" xr:uid="{00000000-0005-0000-0000-000069050000}"/>
    <cellStyle name="Normal 9 5" xfId="1381" xr:uid="{00000000-0005-0000-0000-00006A050000}"/>
    <cellStyle name="Normal 9 5 2" xfId="1382" xr:uid="{00000000-0005-0000-0000-00006B050000}"/>
    <cellStyle name="Normal 9 5 2 2" xfId="1383" xr:uid="{00000000-0005-0000-0000-00006C050000}"/>
    <cellStyle name="Normal 9 5 3" xfId="1384" xr:uid="{00000000-0005-0000-0000-00006D050000}"/>
    <cellStyle name="Normal 9 6" xfId="1385" xr:uid="{00000000-0005-0000-0000-00006E050000}"/>
    <cellStyle name="Normal 9 6 2" xfId="1386" xr:uid="{00000000-0005-0000-0000-00006F050000}"/>
    <cellStyle name="Normal 9 7" xfId="1387" xr:uid="{00000000-0005-0000-0000-000070050000}"/>
    <cellStyle name="Page Title Bar" xfId="1476" xr:uid="{00000000-0005-0000-0000-000071050000}"/>
    <cellStyle name="Pourcentage" xfId="1479" builtinId="5"/>
    <cellStyle name="Pourcentage 10" xfId="1388" xr:uid="{00000000-0005-0000-0000-000073050000}"/>
    <cellStyle name="Pourcentage 2" xfId="8" xr:uid="{00000000-0005-0000-0000-000074050000}"/>
    <cellStyle name="Pourcentage 2 2" xfId="1389" xr:uid="{00000000-0005-0000-0000-000075050000}"/>
    <cellStyle name="Pourcentage 2 3" xfId="1390" xr:uid="{00000000-0005-0000-0000-000076050000}"/>
    <cellStyle name="Pourcentage 2 4" xfId="1391" xr:uid="{00000000-0005-0000-0000-000077050000}"/>
    <cellStyle name="Pourcentage 2 4 2" xfId="1392" xr:uid="{00000000-0005-0000-0000-000078050000}"/>
    <cellStyle name="Pourcentage 3" xfId="1393" xr:uid="{00000000-0005-0000-0000-000079050000}"/>
    <cellStyle name="Pourcentage 3 2" xfId="1394" xr:uid="{00000000-0005-0000-0000-00007A050000}"/>
    <cellStyle name="Pourcentage 3 3" xfId="1472" xr:uid="{00000000-0005-0000-0000-00007B050000}"/>
    <cellStyle name="Pourcentage 4" xfId="1395" xr:uid="{00000000-0005-0000-0000-00007C050000}"/>
    <cellStyle name="Pourcentage 5" xfId="1396" xr:uid="{00000000-0005-0000-0000-00007D050000}"/>
    <cellStyle name="Pourcentage 6" xfId="1397" xr:uid="{00000000-0005-0000-0000-00007E050000}"/>
    <cellStyle name="Pourcentage 6 2" xfId="7" xr:uid="{00000000-0005-0000-0000-00007F050000}"/>
    <cellStyle name="Pourcentage 6 2 2" xfId="1398" xr:uid="{00000000-0005-0000-0000-000080050000}"/>
    <cellStyle name="Pourcentage 6 2 2 2" xfId="1399" xr:uid="{00000000-0005-0000-0000-000081050000}"/>
    <cellStyle name="Pourcentage 6 2 2 2 2" xfId="1400" xr:uid="{00000000-0005-0000-0000-000082050000}"/>
    <cellStyle name="Pourcentage 6 2 2 3" xfId="1401" xr:uid="{00000000-0005-0000-0000-000083050000}"/>
    <cellStyle name="Pourcentage 6 2 3" xfId="1402" xr:uid="{00000000-0005-0000-0000-000084050000}"/>
    <cellStyle name="Pourcentage 6 2 3 2" xfId="1403" xr:uid="{00000000-0005-0000-0000-000085050000}"/>
    <cellStyle name="Pourcentage 6 2 3 2 2" xfId="1404" xr:uid="{00000000-0005-0000-0000-000086050000}"/>
    <cellStyle name="Pourcentage 6 2 3 3" xfId="1405" xr:uid="{00000000-0005-0000-0000-000087050000}"/>
    <cellStyle name="Pourcentage 6 2 4" xfId="1406" xr:uid="{00000000-0005-0000-0000-000088050000}"/>
    <cellStyle name="Pourcentage 6 2 4 2" xfId="1407" xr:uid="{00000000-0005-0000-0000-000089050000}"/>
    <cellStyle name="Pourcentage 6 2 5" xfId="1408" xr:uid="{00000000-0005-0000-0000-00008A050000}"/>
    <cellStyle name="Pourcentage 6 3" xfId="1409" xr:uid="{00000000-0005-0000-0000-00008B050000}"/>
    <cellStyle name="Pourcentage 6 3 2" xfId="1410" xr:uid="{00000000-0005-0000-0000-00008C050000}"/>
    <cellStyle name="Pourcentage 6 3 2 2" xfId="1411" xr:uid="{00000000-0005-0000-0000-00008D050000}"/>
    <cellStyle name="Pourcentage 6 3 3" xfId="1412" xr:uid="{00000000-0005-0000-0000-00008E050000}"/>
    <cellStyle name="Pourcentage 6 4" xfId="1413" xr:uid="{00000000-0005-0000-0000-00008F050000}"/>
    <cellStyle name="Pourcentage 6 4 2" xfId="1414" xr:uid="{00000000-0005-0000-0000-000090050000}"/>
    <cellStyle name="Pourcentage 6 5" xfId="1415" xr:uid="{00000000-0005-0000-0000-000091050000}"/>
    <cellStyle name="Pourcentage 7" xfId="1416" xr:uid="{00000000-0005-0000-0000-000092050000}"/>
    <cellStyle name="Pourcentage 7 2" xfId="1417" xr:uid="{00000000-0005-0000-0000-000093050000}"/>
    <cellStyle name="Pourcentage 7 2 2" xfId="1418" xr:uid="{00000000-0005-0000-0000-000094050000}"/>
    <cellStyle name="Pourcentage 7 2 2 2" xfId="1419" xr:uid="{00000000-0005-0000-0000-000095050000}"/>
    <cellStyle name="Pourcentage 7 2 3" xfId="1420" xr:uid="{00000000-0005-0000-0000-000096050000}"/>
    <cellStyle name="Pourcentage 7 3" xfId="1421" xr:uid="{00000000-0005-0000-0000-000097050000}"/>
    <cellStyle name="Pourcentage 7 3 2" xfId="1422" xr:uid="{00000000-0005-0000-0000-000098050000}"/>
    <cellStyle name="Pourcentage 7 4" xfId="1423" xr:uid="{00000000-0005-0000-0000-000099050000}"/>
    <cellStyle name="Pourcentage 8" xfId="1424" xr:uid="{00000000-0005-0000-0000-00009A050000}"/>
    <cellStyle name="Pourcentage 8 2" xfId="1425" xr:uid="{00000000-0005-0000-0000-00009B050000}"/>
    <cellStyle name="Pourcentage 8 2 2" xfId="1426" xr:uid="{00000000-0005-0000-0000-00009C050000}"/>
    <cellStyle name="Pourcentage 8 3" xfId="1427" xr:uid="{00000000-0005-0000-0000-00009D050000}"/>
    <cellStyle name="Pourcentage 9" xfId="1428" xr:uid="{00000000-0005-0000-0000-00009E050000}"/>
    <cellStyle name="Pourcentage 9 2" xfId="1429" xr:uid="{00000000-0005-0000-0000-00009F050000}"/>
    <cellStyle name="Pourcentage 9 2 2" xfId="1430" xr:uid="{00000000-0005-0000-0000-0000A0050000}"/>
    <cellStyle name="Pourcentage 9 3" xfId="1431" xr:uid="{00000000-0005-0000-0000-0000A1050000}"/>
    <cellStyle name="Recuperation" xfId="1482" xr:uid="{00000000-0005-0000-0000-0000A2050000}"/>
    <cellStyle name="Saisie" xfId="1483" xr:uid="{00000000-0005-0000-0000-0000A3050000}"/>
    <cellStyle name="Satisfaisant 2" xfId="1432" xr:uid="{00000000-0005-0000-0000-0000A4050000}"/>
    <cellStyle name="Satisfaisant 3" xfId="1433" xr:uid="{00000000-0005-0000-0000-0000A5050000}"/>
    <cellStyle name="Satisfaisant 4" xfId="1434" xr:uid="{00000000-0005-0000-0000-0000A6050000}"/>
    <cellStyle name="Satisfaisant 5" xfId="1435" xr:uid="{00000000-0005-0000-0000-0000A7050000}"/>
    <cellStyle name="Sortie 2" xfId="1436" xr:uid="{00000000-0005-0000-0000-0000A8050000}"/>
    <cellStyle name="Sortie 3" xfId="1437" xr:uid="{00000000-0005-0000-0000-0000A9050000}"/>
    <cellStyle name="Sortie 4" xfId="1438" xr:uid="{00000000-0005-0000-0000-0000AA050000}"/>
    <cellStyle name="Sortie 5" xfId="1439" xr:uid="{00000000-0005-0000-0000-0000AB050000}"/>
    <cellStyle name="Stat" xfId="1484" xr:uid="{00000000-0005-0000-0000-0000AC050000}"/>
    <cellStyle name="Texte explicatif 2" xfId="1440" xr:uid="{00000000-0005-0000-0000-0000AD050000}"/>
    <cellStyle name="Texte explicatif 3" xfId="1441" xr:uid="{00000000-0005-0000-0000-0000AE050000}"/>
    <cellStyle name="Texte explicatif 4" xfId="1442" xr:uid="{00000000-0005-0000-0000-0000AF050000}"/>
    <cellStyle name="Texte explicatif 5" xfId="1443" xr:uid="{00000000-0005-0000-0000-0000B0050000}"/>
    <cellStyle name="Titre 2" xfId="1444" xr:uid="{00000000-0005-0000-0000-0000B1050000}"/>
    <cellStyle name="Titre 3" xfId="1445" xr:uid="{00000000-0005-0000-0000-0000B2050000}"/>
    <cellStyle name="Titre 4" xfId="1446" xr:uid="{00000000-0005-0000-0000-0000B3050000}"/>
    <cellStyle name="Titre 5" xfId="1447" xr:uid="{00000000-0005-0000-0000-0000B4050000}"/>
    <cellStyle name="Titre 1 2" xfId="1448" xr:uid="{00000000-0005-0000-0000-0000B5050000}"/>
    <cellStyle name="Titre 1 3" xfId="1449" xr:uid="{00000000-0005-0000-0000-0000B6050000}"/>
    <cellStyle name="Titre 1 4" xfId="1450" xr:uid="{00000000-0005-0000-0000-0000B7050000}"/>
    <cellStyle name="Titre 1 5" xfId="1451" xr:uid="{00000000-0005-0000-0000-0000B8050000}"/>
    <cellStyle name="Titre 2 2" xfId="1452" xr:uid="{00000000-0005-0000-0000-0000B9050000}"/>
    <cellStyle name="Titre 2 3" xfId="1453" xr:uid="{00000000-0005-0000-0000-0000BA050000}"/>
    <cellStyle name="Titre 2 4" xfId="1454" xr:uid="{00000000-0005-0000-0000-0000BB050000}"/>
    <cellStyle name="Titre 2 5" xfId="1455" xr:uid="{00000000-0005-0000-0000-0000BC050000}"/>
    <cellStyle name="Titre 3 2" xfId="1456" xr:uid="{00000000-0005-0000-0000-0000BD050000}"/>
    <cellStyle name="Titre 3 3" xfId="1457" xr:uid="{00000000-0005-0000-0000-0000BE050000}"/>
    <cellStyle name="Titre 3 4" xfId="1458" xr:uid="{00000000-0005-0000-0000-0000BF050000}"/>
    <cellStyle name="Titre 3 5" xfId="1459" xr:uid="{00000000-0005-0000-0000-0000C0050000}"/>
    <cellStyle name="Titre 4 2" xfId="1460" xr:uid="{00000000-0005-0000-0000-0000C1050000}"/>
    <cellStyle name="Titre 4 3" xfId="1461" xr:uid="{00000000-0005-0000-0000-0000C2050000}"/>
    <cellStyle name="Titre 4 4" xfId="1462" xr:uid="{00000000-0005-0000-0000-0000C3050000}"/>
    <cellStyle name="Titre 4 5" xfId="1463" xr:uid="{00000000-0005-0000-0000-0000C4050000}"/>
    <cellStyle name="Total 2" xfId="1464" xr:uid="{00000000-0005-0000-0000-0000C5050000}"/>
    <cellStyle name="Total 3" xfId="1465" xr:uid="{00000000-0005-0000-0000-0000C6050000}"/>
    <cellStyle name="Total 4" xfId="1466" xr:uid="{00000000-0005-0000-0000-0000C7050000}"/>
    <cellStyle name="Total 5" xfId="1467" xr:uid="{00000000-0005-0000-0000-0000C8050000}"/>
    <cellStyle name="Vérification 2" xfId="1468" xr:uid="{00000000-0005-0000-0000-0000C9050000}"/>
    <cellStyle name="Vérification 3" xfId="1469" xr:uid="{00000000-0005-0000-0000-0000CA050000}"/>
    <cellStyle name="Vérification 4" xfId="1470" xr:uid="{00000000-0005-0000-0000-0000CB050000}"/>
    <cellStyle name="Vérification 5" xfId="1471" xr:uid="{00000000-0005-0000-0000-0000CC050000}"/>
    <cellStyle name="Year to date information" xfId="1478" xr:uid="{00000000-0005-0000-0000-0000CD050000}"/>
  </cellStyles>
  <dxfs count="19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8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1F497D"/>
      <color rgb="FF800000"/>
      <color rgb="FF99CCFF"/>
      <color rgb="FFC0C0C0"/>
      <color rgb="FF000000"/>
      <color rgb="FF008000"/>
      <color rgb="FFFFFF99"/>
      <color rgb="FFFFFF66"/>
      <color rgb="FFFF3300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69444375879594"/>
          <c:y val="8.3384102534628565E-2"/>
          <c:w val="0.53910004196183936"/>
          <c:h val="0.8123478360825614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6118766404199476E-2"/>
                  <c:y val="-1.143810148731410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 Narrow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D0-465C-A625-C257DFF450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D0-465C-A625-C257DFF450BA}"/>
                </c:ext>
              </c:extLst>
            </c:dLbl>
            <c:dLbl>
              <c:idx val="2"/>
              <c:layout>
                <c:manualLayout>
                  <c:x val="4.7861111111111534E-2"/>
                  <c:y val="0.238468576844561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0-465C-A625-C257DFF450BA}"/>
                </c:ext>
              </c:extLst>
            </c:dLbl>
            <c:dLbl>
              <c:idx val="3"/>
              <c:layout>
                <c:manualLayout>
                  <c:x val="1.1547244094488221E-2"/>
                  <c:y val="-1.1587926509186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0-465C-A625-C257DFF450BA}"/>
                </c:ext>
              </c:extLst>
            </c:dLbl>
            <c:dLbl>
              <c:idx val="4"/>
              <c:layout>
                <c:manualLayout>
                  <c:x val="3.0653980752408052E-4"/>
                  <c:y val="-1.95523476232137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0-465C-A625-C257DFF450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MSE!$B$6:$B$7</c:f>
              <c:strCache>
                <c:ptCount val="2"/>
                <c:pt idx="0">
                  <c:v>cotisations membres</c:v>
                </c:pt>
                <c:pt idx="1">
                  <c:v>autres produits</c:v>
                </c:pt>
              </c:strCache>
            </c:strRef>
          </c:cat>
          <c:val>
            <c:numRef>
              <c:f>MSE!$D$6:$D$7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D0-465C-A625-C257DFF45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5.5485070635763424E-3"/>
          <c:y val="0.83651091058873162"/>
          <c:w val="0.94429475312454292"/>
          <c:h val="0.15422802076748646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69444375879594"/>
          <c:y val="8.3384102534628565E-2"/>
          <c:w val="0.53910004196183936"/>
          <c:h val="0.81234783608256245"/>
        </c:manualLayout>
      </c:layout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0-83EF-498C-8F6A-D5A0541E58A3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83EF-498C-8F6A-D5A0541E58A3}"/>
              </c:ext>
            </c:extLst>
          </c:dPt>
          <c:dLbls>
            <c:dLbl>
              <c:idx val="0"/>
              <c:layout>
                <c:manualLayout>
                  <c:x val="-9.062532329445229E-2"/>
                  <c:y val="-2.48857781666184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EF-498C-8F6A-D5A0541E58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EF-498C-8F6A-D5A0541E58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MSE!$B$21:$B$23</c:f>
              <c:strCache>
                <c:ptCount val="3"/>
                <c:pt idx="0">
                  <c:v>valorisations membres</c:v>
                </c:pt>
                <c:pt idx="1">
                  <c:v>levier sur subventions</c:v>
                </c:pt>
                <c:pt idx="2">
                  <c:v>autres ressources</c:v>
                </c:pt>
              </c:strCache>
            </c:strRef>
          </c:cat>
          <c:val>
            <c:numRef>
              <c:f>MSE!$D$21:$D$23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EF-498C-8F6A-D5A0541E5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2.0147134892809941E-2"/>
          <c:y val="0.75420627977058463"/>
          <c:w val="0.94429475312454403"/>
          <c:h val="0.23653284080231679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2968752993954"/>
          <c:y val="3.1532225138524411E-2"/>
          <c:w val="0.59262792880816906"/>
          <c:h val="0.89382910469524668"/>
        </c:manualLayout>
      </c:layout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0-ABDF-4B70-8D1E-6BFEA450F8C9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ABDF-4B70-8D1E-6BFEA450F8C9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ABDF-4B70-8D1E-6BFEA450F8C9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ABDF-4B70-8D1E-6BFEA450F8C9}"/>
              </c:ext>
            </c:extLst>
          </c:dPt>
          <c:dLbls>
            <c:dLbl>
              <c:idx val="0"/>
              <c:layout>
                <c:manualLayout>
                  <c:x val="1.1563882981780569E-2"/>
                  <c:y val="1.95584718576846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DF-4B70-8D1E-6BFEA450F8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DF-4B70-8D1E-6BFEA450F8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DF-4B70-8D1E-6BFEA450F8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MSE!$B$65:$B$70</c:f>
              <c:strCache>
                <c:ptCount val="6"/>
                <c:pt idx="0">
                  <c:v>études</c:v>
                </c:pt>
                <c:pt idx="1">
                  <c:v>fisong</c:v>
                </c:pt>
                <c:pt idx="2">
                  <c:v>formations</c:v>
                </c:pt>
                <c:pt idx="3">
                  <c:v>réseau</c:v>
                </c:pt>
                <c:pt idx="4">
                  <c:v>expérimentation</c:v>
                </c:pt>
                <c:pt idx="5">
                  <c:v>veille diffusion</c:v>
                </c:pt>
              </c:strCache>
            </c:strRef>
          </c:cat>
          <c:val>
            <c:numRef>
              <c:f>MSE!$D$65:$D$70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DF-4B70-8D1E-6BFEA450F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2.0147134892809941E-2"/>
          <c:y val="0.80835731740428995"/>
          <c:w val="0.86379161095432255"/>
          <c:h val="0.18238211602859988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69440772458186"/>
          <c:y val="0"/>
          <c:w val="0.59749410885681442"/>
          <c:h val="0.8805970149253731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0-20D5-450A-A9F3-62B1792010DD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1-20D5-450A-A9F3-62B1792010DD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20D5-450A-A9F3-62B1792010D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0D5-450A-A9F3-62B1792010DD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4-20D5-450A-A9F3-62B1792010DD}"/>
              </c:ext>
            </c:extLst>
          </c:dPt>
          <c:dLbls>
            <c:dLbl>
              <c:idx val="0"/>
              <c:layout>
                <c:manualLayout>
                  <c:x val="-6.4780734524972933E-2"/>
                  <c:y val="-5.79156709888879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D5-450A-A9F3-62B1792010DD}"/>
                </c:ext>
              </c:extLst>
            </c:dLbl>
            <c:dLbl>
              <c:idx val="1"/>
              <c:layout>
                <c:manualLayout>
                  <c:x val="-4.0310745828304514E-3"/>
                  <c:y val="1.8716914117078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5-450A-A9F3-62B1792010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D5-450A-A9F3-62B1792010DD}"/>
                </c:ext>
              </c:extLst>
            </c:dLbl>
            <c:dLbl>
              <c:idx val="3"/>
              <c:layout>
                <c:manualLayout>
                  <c:x val="1.1547244094488221E-2"/>
                  <c:y val="-1.1587926509186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D5-450A-A9F3-62B1792010DD}"/>
                </c:ext>
              </c:extLst>
            </c:dLbl>
            <c:dLbl>
              <c:idx val="4"/>
              <c:layout>
                <c:manualLayout>
                  <c:x val="3.0653980752408052E-4"/>
                  <c:y val="-1.95523476232137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D5-450A-A9F3-62B1792010DD}"/>
                </c:ext>
              </c:extLst>
            </c:dLbl>
            <c:dLbl>
              <c:idx val="5"/>
              <c:layout>
                <c:manualLayout>
                  <c:x val="5.0674176676820365E-2"/>
                  <c:y val="-2.15896893485329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D5-450A-A9F3-62B1792010D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MSE!$G$65:$G$70</c:f>
              <c:strCache>
                <c:ptCount val="6"/>
                <c:pt idx="0">
                  <c:v>études</c:v>
                </c:pt>
                <c:pt idx="1">
                  <c:v>fisong</c:v>
                </c:pt>
                <c:pt idx="2">
                  <c:v>formations</c:v>
                </c:pt>
                <c:pt idx="3">
                  <c:v>réseau</c:v>
                </c:pt>
                <c:pt idx="4">
                  <c:v>expérimentation</c:v>
                </c:pt>
                <c:pt idx="5">
                  <c:v>veille diffusion</c:v>
                </c:pt>
              </c:strCache>
            </c:strRef>
          </c:cat>
          <c:val>
            <c:numRef>
              <c:f>MSE!$I$65:$I$70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D5-450A-A9F3-62B179201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"/>
          <c:y val="0.72113135111842364"/>
          <c:w val="1"/>
          <c:h val="0.24774970292892912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69440772458186"/>
          <c:y val="0"/>
          <c:w val="0.60236028890549254"/>
          <c:h val="0.907131011608623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0-DEC8-4EC3-95DE-7C61F2D05E62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1-DEC8-4EC3-95DE-7C61F2D05E62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2-DEC8-4EC3-95DE-7C61F2D05E6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DEC8-4EC3-95DE-7C61F2D05E6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DEC8-4EC3-95DE-7C61F2D05E62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DEC8-4EC3-95DE-7C61F2D05E62}"/>
              </c:ext>
            </c:extLst>
          </c:dPt>
          <c:dLbls>
            <c:dLbl>
              <c:idx val="0"/>
              <c:layout>
                <c:manualLayout>
                  <c:x val="-3.0717857348123496E-2"/>
                  <c:y val="0.141089304135497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C8-4EC3-95DE-7C61F2D05E62}"/>
                </c:ext>
              </c:extLst>
            </c:dLbl>
            <c:dLbl>
              <c:idx val="1"/>
              <c:layout>
                <c:manualLayout>
                  <c:x val="3.0032377339694778E-2"/>
                  <c:y val="1.8716914117078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C8-4EC3-95DE-7C61F2D05E62}"/>
                </c:ext>
              </c:extLst>
            </c:dLbl>
            <c:dLbl>
              <c:idx val="2"/>
              <c:layout>
                <c:manualLayout>
                  <c:x val="-1.2417955054888213E-2"/>
                  <c:y val="-5.04668259751120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C8-4EC3-95DE-7C61F2D05E62}"/>
                </c:ext>
              </c:extLst>
            </c:dLbl>
            <c:dLbl>
              <c:idx val="3"/>
              <c:layout>
                <c:manualLayout>
                  <c:x val="1.154740693909612E-2"/>
                  <c:y val="-4.4755748814980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C8-4EC3-95DE-7C61F2D05E62}"/>
                </c:ext>
              </c:extLst>
            </c:dLbl>
            <c:dLbl>
              <c:idx val="4"/>
              <c:layout>
                <c:manualLayout>
                  <c:x val="3.0653980752408052E-4"/>
                  <c:y val="-1.95523476232137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C8-4EC3-95DE-7C61F2D05E62}"/>
                </c:ext>
              </c:extLst>
            </c:dLbl>
            <c:dLbl>
              <c:idx val="5"/>
              <c:layout>
                <c:manualLayout>
                  <c:x val="5.0674176676820365E-2"/>
                  <c:y val="-2.15896893485329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C8-4EC3-95DE-7C61F2D05E6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MSE!$L$65:$L$70</c:f>
              <c:strCache>
                <c:ptCount val="6"/>
                <c:pt idx="0">
                  <c:v>études</c:v>
                </c:pt>
                <c:pt idx="1">
                  <c:v>fisong</c:v>
                </c:pt>
                <c:pt idx="2">
                  <c:v>formations</c:v>
                </c:pt>
                <c:pt idx="3">
                  <c:v>réseau</c:v>
                </c:pt>
                <c:pt idx="4">
                  <c:v>expérimentation</c:v>
                </c:pt>
                <c:pt idx="5">
                  <c:v>veille diffusion</c:v>
                </c:pt>
              </c:strCache>
            </c:strRef>
          </c:cat>
          <c:val>
            <c:numRef>
              <c:f>MSE!$N$65:$N$70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C8-4EC3-95DE-7C61F2D05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"/>
          <c:y val="0.74766534780167404"/>
          <c:w val="1"/>
          <c:h val="0.22121570624567452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MSE!$M$86</c:f>
              <c:strCache>
                <c:ptCount val="1"/>
                <c:pt idx="0">
                  <c:v>programme socle</c:v>
                </c:pt>
              </c:strCache>
            </c:strRef>
          </c:tx>
          <c:marker>
            <c:symbol val="none"/>
          </c:marker>
          <c:cat>
            <c:numRef>
              <c:f>MSE!$O$85:$U$85</c:f>
              <c:numCache>
                <c:formatCode>yyyy</c:formatCode>
                <c:ptCount val="7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  <c:pt idx="5">
                  <c:v>43466</c:v>
                </c:pt>
                <c:pt idx="6">
                  <c:v>43831</c:v>
                </c:pt>
              </c:numCache>
            </c:numRef>
          </c:cat>
          <c:val>
            <c:numRef>
              <c:f>MSE!$O$86:$U$86</c:f>
              <c:numCache>
                <c:formatCode>#,##0</c:formatCode>
                <c:ptCount val="7"/>
                <c:pt idx="0">
                  <c:v>586570</c:v>
                </c:pt>
                <c:pt idx="1">
                  <c:v>705752</c:v>
                </c:pt>
                <c:pt idx="2">
                  <c:v>637896</c:v>
                </c:pt>
                <c:pt idx="3">
                  <c:v>793867</c:v>
                </c:pt>
                <c:pt idx="4">
                  <c:v>1031995</c:v>
                </c:pt>
                <c:pt idx="5">
                  <c:v>900000</c:v>
                </c:pt>
                <c:pt idx="6">
                  <c:v>808435.49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7-47BA-89A2-3FD9E2427D4B}"/>
            </c:ext>
          </c:extLst>
        </c:ser>
        <c:ser>
          <c:idx val="1"/>
          <c:order val="1"/>
          <c:tx>
            <c:strRef>
              <c:f>MSE!$M$87</c:f>
              <c:strCache>
                <c:ptCount val="1"/>
                <c:pt idx="0">
                  <c:v>programme expérimental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MSE!$O$85:$U$85</c:f>
              <c:numCache>
                <c:formatCode>yyyy</c:formatCode>
                <c:ptCount val="7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  <c:pt idx="5">
                  <c:v>43466</c:v>
                </c:pt>
                <c:pt idx="6">
                  <c:v>43831</c:v>
                </c:pt>
              </c:numCache>
            </c:numRef>
          </c:cat>
          <c:val>
            <c:numRef>
              <c:f>MSE!$O$87:$U$87</c:f>
              <c:numCache>
                <c:formatCode>#,##0</c:formatCode>
                <c:ptCount val="7"/>
                <c:pt idx="0">
                  <c:v>54930.140000000014</c:v>
                </c:pt>
                <c:pt idx="1">
                  <c:v>166470</c:v>
                </c:pt>
                <c:pt idx="2">
                  <c:v>203287</c:v>
                </c:pt>
                <c:pt idx="3">
                  <c:v>232653</c:v>
                </c:pt>
                <c:pt idx="4">
                  <c:v>295077</c:v>
                </c:pt>
                <c:pt idx="5">
                  <c:v>265801</c:v>
                </c:pt>
                <c:pt idx="6">
                  <c:v>566822.33000000007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7-47BA-89A2-3FD9E2427D4B}"/>
            </c:ext>
          </c:extLst>
        </c:ser>
        <c:ser>
          <c:idx val="2"/>
          <c:order val="2"/>
          <c:tx>
            <c:strRef>
              <c:f>MSE!$M$88</c:f>
              <c:strCache>
                <c:ptCount val="1"/>
                <c:pt idx="0">
                  <c:v>Ʃ subvention AFD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MSE!$O$85:$U$85</c:f>
              <c:numCache>
                <c:formatCode>yyyy</c:formatCode>
                <c:ptCount val="7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  <c:pt idx="5">
                  <c:v>43466</c:v>
                </c:pt>
                <c:pt idx="6">
                  <c:v>43831</c:v>
                </c:pt>
              </c:numCache>
            </c:numRef>
          </c:cat>
          <c:val>
            <c:numRef>
              <c:f>MSE!$O$88:$U$88</c:f>
              <c:numCache>
                <c:formatCode>#,##0</c:formatCode>
                <c:ptCount val="7"/>
                <c:pt idx="0">
                  <c:v>641500.14</c:v>
                </c:pt>
                <c:pt idx="1">
                  <c:v>872222</c:v>
                </c:pt>
                <c:pt idx="2">
                  <c:v>841183</c:v>
                </c:pt>
                <c:pt idx="3">
                  <c:v>1026520</c:v>
                </c:pt>
                <c:pt idx="4">
                  <c:v>1327072</c:v>
                </c:pt>
                <c:pt idx="5">
                  <c:v>1165801</c:v>
                </c:pt>
                <c:pt idx="6">
                  <c:v>1375257.82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E7-47BA-89A2-3FD9E2427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001280"/>
        <c:axId val="186002816"/>
      </c:lineChart>
      <c:dateAx>
        <c:axId val="186001280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86002816"/>
        <c:crosses val="autoZero"/>
        <c:auto val="1"/>
        <c:lblOffset val="100"/>
        <c:baseTimeUnit val="years"/>
      </c:dateAx>
      <c:valAx>
        <c:axId val="186002816"/>
        <c:scaling>
          <c:orientation val="minMax"/>
          <c:max val="150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86001280"/>
        <c:crosses val="autoZero"/>
        <c:crossBetween val="between"/>
        <c:majorUnit val="300000"/>
      </c:valAx>
    </c:plotArea>
    <c:legend>
      <c:legendPos val="b"/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MSE!$M$104</c:f>
              <c:strCache>
                <c:ptCount val="1"/>
                <c:pt idx="0">
                  <c:v>SF fonds de péréquation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MSE!$O$100:$U$100</c:f>
              <c:numCache>
                <c:formatCode>yyyy</c:formatCode>
                <c:ptCount val="7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  <c:pt idx="5">
                  <c:v>43466</c:v>
                </c:pt>
                <c:pt idx="6">
                  <c:v>43831</c:v>
                </c:pt>
              </c:numCache>
            </c:numRef>
          </c:cat>
          <c:val>
            <c:numRef>
              <c:f>MSE!$O$104:$U$104</c:f>
              <c:numCache>
                <c:formatCode>#,##0</c:formatCode>
                <c:ptCount val="7"/>
                <c:pt idx="0">
                  <c:v>47905.850000000006</c:v>
                </c:pt>
                <c:pt idx="1">
                  <c:v>52332.85</c:v>
                </c:pt>
                <c:pt idx="2">
                  <c:v>88158.14</c:v>
                </c:pt>
                <c:pt idx="3">
                  <c:v>132123.75</c:v>
                </c:pt>
                <c:pt idx="4">
                  <c:v>179909.85</c:v>
                </c:pt>
                <c:pt idx="5">
                  <c:v>203728.24000000002</c:v>
                </c:pt>
                <c:pt idx="6">
                  <c:v>203728.24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2-4D2A-8257-AFD7976D0B7F}"/>
            </c:ext>
          </c:extLst>
        </c:ser>
        <c:ser>
          <c:idx val="1"/>
          <c:order val="1"/>
          <c:tx>
            <c:strRef>
              <c:f>MSE!$M$102</c:f>
              <c:strCache>
                <c:ptCount val="1"/>
                <c:pt idx="0">
                  <c:v>+ entrées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MSE!$O$100:$U$100</c:f>
              <c:numCache>
                <c:formatCode>yyyy</c:formatCode>
                <c:ptCount val="7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  <c:pt idx="5">
                  <c:v>43466</c:v>
                </c:pt>
                <c:pt idx="6">
                  <c:v>43831</c:v>
                </c:pt>
              </c:numCache>
            </c:numRef>
          </c:cat>
          <c:val>
            <c:numRef>
              <c:f>MSE!$O$102:$U$102</c:f>
              <c:numCache>
                <c:formatCode>#,##0</c:formatCode>
                <c:ptCount val="7"/>
                <c:pt idx="0">
                  <c:v>32000</c:v>
                </c:pt>
                <c:pt idx="1">
                  <c:v>22000</c:v>
                </c:pt>
                <c:pt idx="2">
                  <c:v>35825</c:v>
                </c:pt>
                <c:pt idx="3">
                  <c:v>43965.61</c:v>
                </c:pt>
                <c:pt idx="4">
                  <c:v>64544.1</c:v>
                </c:pt>
                <c:pt idx="5">
                  <c:v>64500</c:v>
                </c:pt>
                <c:pt idx="6">
                  <c:v>59499.999999999971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2-4D2A-8257-AFD7976D0B7F}"/>
            </c:ext>
          </c:extLst>
        </c:ser>
        <c:ser>
          <c:idx val="2"/>
          <c:order val="2"/>
          <c:tx>
            <c:strRef>
              <c:f>MSE!$M$103</c:f>
              <c:strCache>
                <c:ptCount val="1"/>
                <c:pt idx="0">
                  <c:v>- sorties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MSE!$O$100:$U$100</c:f>
              <c:numCache>
                <c:formatCode>yyyy</c:formatCode>
                <c:ptCount val="7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  <c:pt idx="5">
                  <c:v>43466</c:v>
                </c:pt>
                <c:pt idx="6">
                  <c:v>43831</c:v>
                </c:pt>
              </c:numCache>
            </c:numRef>
          </c:cat>
          <c:val>
            <c:numRef>
              <c:f>MSE!$O$103:$U$103</c:f>
              <c:numCache>
                <c:formatCode>#,##0</c:formatCode>
                <c:ptCount val="7"/>
                <c:pt idx="0">
                  <c:v>82000</c:v>
                </c:pt>
                <c:pt idx="1">
                  <c:v>17573.000000000007</c:v>
                </c:pt>
                <c:pt idx="2">
                  <c:v>-0.28999999999359716</c:v>
                </c:pt>
                <c:pt idx="3">
                  <c:v>0</c:v>
                </c:pt>
                <c:pt idx="4">
                  <c:v>16758</c:v>
                </c:pt>
                <c:pt idx="5">
                  <c:v>40681.609999999986</c:v>
                </c:pt>
                <c:pt idx="6">
                  <c:v>59500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C2-4D2A-8257-AFD7976D0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930112"/>
        <c:axId val="185931648"/>
      </c:lineChart>
      <c:dateAx>
        <c:axId val="18593011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85931648"/>
        <c:crosses val="autoZero"/>
        <c:auto val="1"/>
        <c:lblOffset val="100"/>
        <c:baseTimeUnit val="years"/>
      </c:dateAx>
      <c:valAx>
        <c:axId val="185931648"/>
        <c:scaling>
          <c:orientation val="minMax"/>
          <c:max val="25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85930112"/>
        <c:crosses val="autoZero"/>
        <c:crossBetween val="between"/>
        <c:majorUnit val="50000"/>
        <c:minorUnit val="10000"/>
      </c:valAx>
    </c:plotArea>
    <c:legend>
      <c:legendPos val="b"/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69444375879594"/>
          <c:y val="8.3384102534628565E-2"/>
          <c:w val="0.53910004196183936"/>
          <c:h val="0.81234783608256178"/>
        </c:manualLayout>
      </c:layout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0-A3EE-4162-877A-6EC68AF7E641}"/>
              </c:ext>
            </c:extLst>
          </c:dPt>
          <c:dLbls>
            <c:dLbl>
              <c:idx val="0"/>
              <c:layout>
                <c:manualLayout>
                  <c:x val="-1.6118766404199476E-2"/>
                  <c:y val="-1.143810148731410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 Narrow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EE-4162-877A-6EC68AF7E6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EE-4162-877A-6EC68AF7E641}"/>
                </c:ext>
              </c:extLst>
            </c:dLbl>
            <c:dLbl>
              <c:idx val="2"/>
              <c:layout>
                <c:manualLayout>
                  <c:x val="4.7861111111111534E-2"/>
                  <c:y val="0.238468576844561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EE-4162-877A-6EC68AF7E641}"/>
                </c:ext>
              </c:extLst>
            </c:dLbl>
            <c:dLbl>
              <c:idx val="3"/>
              <c:layout>
                <c:manualLayout>
                  <c:x val="1.1547244094488221E-2"/>
                  <c:y val="-1.1587926509186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EE-4162-877A-6EC68AF7E641}"/>
                </c:ext>
              </c:extLst>
            </c:dLbl>
            <c:dLbl>
              <c:idx val="4"/>
              <c:layout>
                <c:manualLayout>
                  <c:x val="3.0653980752408052E-4"/>
                  <c:y val="-1.95523476232137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EE-4162-877A-6EC68AF7E6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MSE!$G$6:$G$7</c:f>
              <c:strCache>
                <c:ptCount val="2"/>
                <c:pt idx="0">
                  <c:v>cotisations membres</c:v>
                </c:pt>
                <c:pt idx="1">
                  <c:v>autres ressources</c:v>
                </c:pt>
              </c:strCache>
            </c:strRef>
          </c:cat>
          <c:val>
            <c:numRef>
              <c:f>MSE!$I$6:$I$7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EE-4162-877A-6EC68AF7E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5.5485070635763424E-3"/>
          <c:y val="0.83651091058873162"/>
          <c:w val="0.94429475312454314"/>
          <c:h val="0.15422802076748651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69444375879594"/>
          <c:y val="8.3384102534628565E-2"/>
          <c:w val="0.53910004196183936"/>
          <c:h val="0.81234783608256222"/>
        </c:manualLayout>
      </c:layout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0-10C2-4D99-813F-445B93EC5767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10C2-4D99-813F-445B93EC5767}"/>
              </c:ext>
            </c:extLst>
          </c:dPt>
          <c:dLbls>
            <c:dLbl>
              <c:idx val="0"/>
              <c:layout>
                <c:manualLayout>
                  <c:x val="-9.0625323294452179E-2"/>
                  <c:y val="-2.48857781666184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C2-4D99-813F-445B93EC57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C2-4D99-813F-445B93EC57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MSE!$G$21:$G$23</c:f>
              <c:strCache>
                <c:ptCount val="3"/>
                <c:pt idx="0">
                  <c:v>valorisations membres</c:v>
                </c:pt>
                <c:pt idx="1">
                  <c:v>levier sur subventions</c:v>
                </c:pt>
                <c:pt idx="2">
                  <c:v>autres ressources</c:v>
                </c:pt>
              </c:strCache>
            </c:strRef>
          </c:cat>
          <c:val>
            <c:numRef>
              <c:f>MSE!$I$21:$I$23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C2-4D99-813F-445B93EC5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2.0147134892809941E-2"/>
          <c:y val="0.75420627977058463"/>
          <c:w val="0.94429475312454381"/>
          <c:h val="0.23653284080231674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0-7B0E-4B09-9B67-D60161AB782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B0E-4B09-9B67-D60161AB782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7B0E-4B09-9B67-D60161AB7823}"/>
              </c:ext>
            </c:extLst>
          </c:dPt>
          <c:cat>
            <c:strRef>
              <c:f>MSE!$B$49:$B$51</c:f>
              <c:strCache>
                <c:ptCount val="3"/>
                <c:pt idx="0">
                  <c:v>ressources</c:v>
                </c:pt>
                <c:pt idx="1">
                  <c:v>charges variables</c:v>
                </c:pt>
                <c:pt idx="2">
                  <c:v>charges fixes</c:v>
                </c:pt>
              </c:strCache>
            </c:strRef>
          </c:cat>
          <c:val>
            <c:numRef>
              <c:f>MSE!$C$49:$C$51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0E-4B09-9B67-D60161AB7823}"/>
            </c:ext>
          </c:extLst>
        </c:ser>
        <c:ser>
          <c:idx val="1"/>
          <c:order val="1"/>
          <c:spPr>
            <a:solidFill>
              <a:srgbClr val="FFC000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7B0E-4B09-9B67-D60161AB7823}"/>
              </c:ext>
            </c:extLst>
          </c:dPt>
          <c:cat>
            <c:strRef>
              <c:f>MSE!$B$49:$B$51</c:f>
              <c:strCache>
                <c:ptCount val="3"/>
                <c:pt idx="0">
                  <c:v>ressources</c:v>
                </c:pt>
                <c:pt idx="1">
                  <c:v>charges variables</c:v>
                </c:pt>
                <c:pt idx="2">
                  <c:v>charges fixes</c:v>
                </c:pt>
              </c:strCache>
            </c:strRef>
          </c:cat>
          <c:val>
            <c:numRef>
              <c:f>MSE!$D$49:$D$51</c:f>
              <c:numCache>
                <c:formatCode>#,##0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0E-4B09-9B67-D60161AB7823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invertIfNegative val="0"/>
          <c:cat>
            <c:strRef>
              <c:f>MSE!$B$49:$B$51</c:f>
              <c:strCache>
                <c:ptCount val="3"/>
                <c:pt idx="0">
                  <c:v>ressources</c:v>
                </c:pt>
                <c:pt idx="1">
                  <c:v>charges variables</c:v>
                </c:pt>
                <c:pt idx="2">
                  <c:v>charges fixes</c:v>
                </c:pt>
              </c:strCache>
            </c:strRef>
          </c:cat>
          <c:val>
            <c:numRef>
              <c:f>MSE!$E$49:$E$51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0E-4B09-9B67-D60161AB7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209728"/>
        <c:axId val="117211520"/>
        <c:axId val="0"/>
      </c:bar3DChart>
      <c:catAx>
        <c:axId val="1172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17211520"/>
        <c:crosses val="autoZero"/>
        <c:auto val="1"/>
        <c:lblAlgn val="ctr"/>
        <c:lblOffset val="100"/>
        <c:noMultiLvlLbl val="0"/>
      </c:catAx>
      <c:valAx>
        <c:axId val="117211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17209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0-122C-43B3-A652-71E21F336F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22C-43B3-A652-71E21F336F76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122C-43B3-A652-71E21F336F76}"/>
              </c:ext>
            </c:extLst>
          </c:dPt>
          <c:cat>
            <c:strRef>
              <c:f>MSE!$G$49:$G$51</c:f>
              <c:strCache>
                <c:ptCount val="3"/>
                <c:pt idx="0">
                  <c:v>ressources</c:v>
                </c:pt>
                <c:pt idx="1">
                  <c:v>charges variables</c:v>
                </c:pt>
                <c:pt idx="2">
                  <c:v>charges fixes</c:v>
                </c:pt>
              </c:strCache>
            </c:strRef>
          </c:cat>
          <c:val>
            <c:numRef>
              <c:f>MSE!$H$49:$H$51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2C-43B3-A652-71E21F336F76}"/>
            </c:ext>
          </c:extLst>
        </c:ser>
        <c:ser>
          <c:idx val="1"/>
          <c:order val="1"/>
          <c:spPr>
            <a:solidFill>
              <a:srgbClr val="FFC000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122C-43B3-A652-71E21F336F76}"/>
              </c:ext>
            </c:extLst>
          </c:dPt>
          <c:cat>
            <c:strRef>
              <c:f>MSE!$G$49:$G$51</c:f>
              <c:strCache>
                <c:ptCount val="3"/>
                <c:pt idx="0">
                  <c:v>ressources</c:v>
                </c:pt>
                <c:pt idx="1">
                  <c:v>charges variables</c:v>
                </c:pt>
                <c:pt idx="2">
                  <c:v>charges fixes</c:v>
                </c:pt>
              </c:strCache>
            </c:strRef>
          </c:cat>
          <c:val>
            <c:numRef>
              <c:f>MSE!$I$49:$I$51</c:f>
              <c:numCache>
                <c:formatCode>#,##0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2C-43B3-A652-71E21F336F76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invertIfNegative val="0"/>
          <c:cat>
            <c:strRef>
              <c:f>MSE!$G$49:$G$51</c:f>
              <c:strCache>
                <c:ptCount val="3"/>
                <c:pt idx="0">
                  <c:v>ressources</c:v>
                </c:pt>
                <c:pt idx="1">
                  <c:v>charges variables</c:v>
                </c:pt>
                <c:pt idx="2">
                  <c:v>charges fixes</c:v>
                </c:pt>
              </c:strCache>
            </c:strRef>
          </c:cat>
          <c:val>
            <c:numRef>
              <c:f>MSE!$J$49:$J$51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2C-43B3-A652-71E21F336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167040"/>
        <c:axId val="184185216"/>
        <c:axId val="0"/>
      </c:bar3DChart>
      <c:catAx>
        <c:axId val="1841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84185216"/>
        <c:crosses val="autoZero"/>
        <c:auto val="1"/>
        <c:lblAlgn val="ctr"/>
        <c:lblOffset val="100"/>
        <c:noMultiLvlLbl val="0"/>
      </c:catAx>
      <c:valAx>
        <c:axId val="184185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84167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0-999C-4430-9AF0-2371DEC721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99C-4430-9AF0-2371DEC72190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999C-4430-9AF0-2371DEC72190}"/>
              </c:ext>
            </c:extLst>
          </c:dPt>
          <c:cat>
            <c:strRef>
              <c:f>MSE!$L$49:$L$51</c:f>
              <c:strCache>
                <c:ptCount val="3"/>
                <c:pt idx="0">
                  <c:v>ressources</c:v>
                </c:pt>
                <c:pt idx="1">
                  <c:v>charges variables</c:v>
                </c:pt>
                <c:pt idx="2">
                  <c:v>charges fixes</c:v>
                </c:pt>
              </c:strCache>
            </c:strRef>
          </c:cat>
          <c:val>
            <c:numRef>
              <c:f>MSE!$M$49:$M$51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9C-4430-9AF0-2371DEC72190}"/>
            </c:ext>
          </c:extLst>
        </c:ser>
        <c:ser>
          <c:idx val="1"/>
          <c:order val="1"/>
          <c:spPr>
            <a:solidFill>
              <a:srgbClr val="FFC000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999C-4430-9AF0-2371DEC72190}"/>
              </c:ext>
            </c:extLst>
          </c:dPt>
          <c:cat>
            <c:strRef>
              <c:f>MSE!$L$49:$L$51</c:f>
              <c:strCache>
                <c:ptCount val="3"/>
                <c:pt idx="0">
                  <c:v>ressources</c:v>
                </c:pt>
                <c:pt idx="1">
                  <c:v>charges variables</c:v>
                </c:pt>
                <c:pt idx="2">
                  <c:v>charges fixes</c:v>
                </c:pt>
              </c:strCache>
            </c:strRef>
          </c:cat>
          <c:val>
            <c:numRef>
              <c:f>MSE!$N$49:$N$51</c:f>
              <c:numCache>
                <c:formatCode>#,##0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9C-4430-9AF0-2371DEC72190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invertIfNegative val="0"/>
          <c:cat>
            <c:strRef>
              <c:f>MSE!$L$49:$L$51</c:f>
              <c:strCache>
                <c:ptCount val="3"/>
                <c:pt idx="0">
                  <c:v>ressources</c:v>
                </c:pt>
                <c:pt idx="1">
                  <c:v>charges variables</c:v>
                </c:pt>
                <c:pt idx="2">
                  <c:v>charges fixes</c:v>
                </c:pt>
              </c:strCache>
            </c:strRef>
          </c:cat>
          <c:val>
            <c:numRef>
              <c:f>MSE!$O$49:$O$51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9C-4430-9AF0-2371DEC7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216192"/>
        <c:axId val="184217984"/>
        <c:axId val="0"/>
      </c:bar3DChart>
      <c:catAx>
        <c:axId val="1842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84217984"/>
        <c:crosses val="autoZero"/>
        <c:auto val="1"/>
        <c:lblAlgn val="ctr"/>
        <c:lblOffset val="100"/>
        <c:noMultiLvlLbl val="0"/>
      </c:catAx>
      <c:valAx>
        <c:axId val="184217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fr-FR"/>
          </a:p>
        </c:txPr>
        <c:crossAx val="184216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69444375879594"/>
          <c:y val="8.3384102534628565E-2"/>
          <c:w val="0.53910004196183936"/>
          <c:h val="0.8123478360825617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54653255934249056"/>
                  <c:y val="-9.16393345568646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 Narrow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8-48BA-BE58-E8A1CC8EEC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18-48BA-BE58-E8A1CC8EEC57}"/>
                </c:ext>
              </c:extLst>
            </c:dLbl>
            <c:dLbl>
              <c:idx val="2"/>
              <c:layout>
                <c:manualLayout>
                  <c:x val="4.7861111111111534E-2"/>
                  <c:y val="0.238468576844561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8-48BA-BE58-E8A1CC8EEC57}"/>
                </c:ext>
              </c:extLst>
            </c:dLbl>
            <c:dLbl>
              <c:idx val="3"/>
              <c:layout>
                <c:manualLayout>
                  <c:x val="1.1547244094488221E-2"/>
                  <c:y val="-1.1587926509186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18-48BA-BE58-E8A1CC8EEC57}"/>
                </c:ext>
              </c:extLst>
            </c:dLbl>
            <c:dLbl>
              <c:idx val="4"/>
              <c:layout>
                <c:manualLayout>
                  <c:x val="3.0653980752408052E-4"/>
                  <c:y val="-1.95523476232137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18-48BA-BE58-E8A1CC8EEC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MSE!$B$86:$B$87</c:f>
              <c:strCache>
                <c:ptCount val="2"/>
                <c:pt idx="0">
                  <c:v>subventions AFD</c:v>
                </c:pt>
                <c:pt idx="1">
                  <c:v>autres produits</c:v>
                </c:pt>
              </c:strCache>
            </c:strRef>
          </c:cat>
          <c:val>
            <c:numRef>
              <c:f>MSE!$D$86:$D$87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18-48BA-BE58-E8A1CC8EE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5.5485070635763424E-3"/>
          <c:y val="0.83651091058873162"/>
          <c:w val="0.94429475312454314"/>
          <c:h val="0.15422802076748651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69444375879594"/>
          <c:y val="8.3384102534628565E-2"/>
          <c:w val="0.53910004196183936"/>
          <c:h val="0.8123478360825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0-47FB-4030-890C-D36B01FE5347}"/>
              </c:ext>
            </c:extLst>
          </c:dPt>
          <c:dLbls>
            <c:dLbl>
              <c:idx val="0"/>
              <c:layout>
                <c:manualLayout>
                  <c:x val="-8.4245454719620028E-2"/>
                  <c:y val="-0.442516527539320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>
                      <a:latin typeface="Arial Narrow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FB-4030-890C-D36B01FE53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FB-4030-890C-D36B01FE5347}"/>
                </c:ext>
              </c:extLst>
            </c:dLbl>
            <c:dLbl>
              <c:idx val="2"/>
              <c:layout>
                <c:manualLayout>
                  <c:x val="4.7861111111111534E-2"/>
                  <c:y val="0.238468576844561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FB-4030-890C-D36B01FE5347}"/>
                </c:ext>
              </c:extLst>
            </c:dLbl>
            <c:dLbl>
              <c:idx val="3"/>
              <c:layout>
                <c:manualLayout>
                  <c:x val="1.1547244094488221E-2"/>
                  <c:y val="-1.1587926509186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FB-4030-890C-D36B01FE5347}"/>
                </c:ext>
              </c:extLst>
            </c:dLbl>
            <c:dLbl>
              <c:idx val="4"/>
              <c:layout>
                <c:manualLayout>
                  <c:x val="3.0653980752408052E-4"/>
                  <c:y val="-1.95523476232137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FB-4030-890C-D36B01FE5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MSE!$G$86:$G$87</c:f>
              <c:strCache>
                <c:ptCount val="2"/>
                <c:pt idx="0">
                  <c:v>subventions AFD</c:v>
                </c:pt>
                <c:pt idx="1">
                  <c:v>autres ressources</c:v>
                </c:pt>
              </c:strCache>
            </c:strRef>
          </c:cat>
          <c:val>
            <c:numRef>
              <c:f>MSE!$I$86:$I$87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FB-4030-890C-D36B01FE5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5.5485070635763424E-3"/>
          <c:y val="0.83651091058873162"/>
          <c:w val="0.94429475312454336"/>
          <c:h val="0.15422802076748657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69444375879594"/>
          <c:y val="8.3384102534628565E-2"/>
          <c:w val="0.53910004196183936"/>
          <c:h val="0.81234783608256245"/>
        </c:manualLayout>
      </c:layout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0-A9E2-4B55-9A15-3F62E3477414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A9E2-4B55-9A15-3F62E3477414}"/>
              </c:ext>
            </c:extLst>
          </c:dPt>
          <c:dLbls>
            <c:dLbl>
              <c:idx val="0"/>
              <c:layout>
                <c:manualLayout>
                  <c:x val="-9.062532329445229E-2"/>
                  <c:y val="-2.48857781666184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E2-4B55-9A15-3F62E34774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E2-4B55-9A15-3F62E347741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MSE!$L$21:$L$23</c:f>
              <c:strCache>
                <c:ptCount val="3"/>
                <c:pt idx="0">
                  <c:v>valorisations membres</c:v>
                </c:pt>
                <c:pt idx="1">
                  <c:v>levier sur subventions</c:v>
                </c:pt>
                <c:pt idx="2">
                  <c:v>autres ressources</c:v>
                </c:pt>
              </c:strCache>
            </c:strRef>
          </c:cat>
          <c:val>
            <c:numRef>
              <c:f>MSE!$N$21:$N$23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E2-4B55-9A15-3F62E3477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2.0147134892809941E-2"/>
          <c:y val="0.75420627977058463"/>
          <c:w val="0.94429475312454403"/>
          <c:h val="0.23653284080231679"/>
        </c:manualLayout>
      </c:layout>
      <c:overlay val="0"/>
      <c:txPr>
        <a:bodyPr/>
        <a:lstStyle/>
        <a:p>
          <a:pPr rtl="0">
            <a:defRPr>
              <a:latin typeface="Arial Narrow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9</xdr:row>
      <xdr:rowOff>19050</xdr:rowOff>
    </xdr:from>
    <xdr:to>
      <xdr:col>4</xdr:col>
      <xdr:colOff>333376</xdr:colOff>
      <xdr:row>15</xdr:row>
      <xdr:rowOff>142875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9</xdr:row>
      <xdr:rowOff>38100</xdr:rowOff>
    </xdr:from>
    <xdr:to>
      <xdr:col>9</xdr:col>
      <xdr:colOff>361950</xdr:colOff>
      <xdr:row>15</xdr:row>
      <xdr:rowOff>161925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25</xdr:row>
      <xdr:rowOff>19050</xdr:rowOff>
    </xdr:from>
    <xdr:to>
      <xdr:col>9</xdr:col>
      <xdr:colOff>342900</xdr:colOff>
      <xdr:row>33</xdr:row>
      <xdr:rowOff>38100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48</xdr:row>
      <xdr:rowOff>9526</xdr:rowOff>
    </xdr:from>
    <xdr:to>
      <xdr:col>4</xdr:col>
      <xdr:colOff>742950</xdr:colOff>
      <xdr:row>59</xdr:row>
      <xdr:rowOff>180976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19050</xdr:colOff>
      <xdr:row>48</xdr:row>
      <xdr:rowOff>19050</xdr:rowOff>
    </xdr:from>
    <xdr:to>
      <xdr:col>9</xdr:col>
      <xdr:colOff>752475</xdr:colOff>
      <xdr:row>60</xdr:row>
      <xdr:rowOff>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</xdr:colOff>
      <xdr:row>48</xdr:row>
      <xdr:rowOff>19050</xdr:rowOff>
    </xdr:from>
    <xdr:to>
      <xdr:col>14</xdr:col>
      <xdr:colOff>752475</xdr:colOff>
      <xdr:row>60</xdr:row>
      <xdr:rowOff>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89</xdr:row>
      <xdr:rowOff>28575</xdr:rowOff>
    </xdr:from>
    <xdr:to>
      <xdr:col>4</xdr:col>
      <xdr:colOff>333375</xdr:colOff>
      <xdr:row>95</xdr:row>
      <xdr:rowOff>152400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19050</xdr:colOff>
      <xdr:row>89</xdr:row>
      <xdr:rowOff>47625</xdr:rowOff>
    </xdr:from>
    <xdr:to>
      <xdr:col>9</xdr:col>
      <xdr:colOff>342900</xdr:colOff>
      <xdr:row>95</xdr:row>
      <xdr:rowOff>171450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25</xdr:row>
      <xdr:rowOff>0</xdr:rowOff>
    </xdr:from>
    <xdr:to>
      <xdr:col>14</xdr:col>
      <xdr:colOff>323850</xdr:colOff>
      <xdr:row>33</xdr:row>
      <xdr:rowOff>19050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4</xdr:col>
      <xdr:colOff>323850</xdr:colOff>
      <xdr:row>33</xdr:row>
      <xdr:rowOff>19050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4</xdr:col>
      <xdr:colOff>238125</xdr:colOff>
      <xdr:row>80</xdr:row>
      <xdr:rowOff>133350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72</xdr:row>
      <xdr:rowOff>0</xdr:rowOff>
    </xdr:from>
    <xdr:to>
      <xdr:col>9</xdr:col>
      <xdr:colOff>238125</xdr:colOff>
      <xdr:row>81</xdr:row>
      <xdr:rowOff>142876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72</xdr:row>
      <xdr:rowOff>0</xdr:rowOff>
    </xdr:from>
    <xdr:to>
      <xdr:col>14</xdr:col>
      <xdr:colOff>190500</xdr:colOff>
      <xdr:row>81</xdr:row>
      <xdr:rowOff>142875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88</xdr:row>
      <xdr:rowOff>47625</xdr:rowOff>
    </xdr:from>
    <xdr:to>
      <xdr:col>21</xdr:col>
      <xdr:colOff>0</xdr:colOff>
      <xdr:row>98</xdr:row>
      <xdr:rowOff>123825</xdr:rowOff>
    </xdr:to>
    <xdr:graphicFrame macro="">
      <xdr:nvGraphicFramePr>
        <xdr:cNvPr id="37" name="Graphique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0</xdr:colOff>
      <xdr:row>104</xdr:row>
      <xdr:rowOff>57150</xdr:rowOff>
    </xdr:from>
    <xdr:to>
      <xdr:col>21</xdr:col>
      <xdr:colOff>0</xdr:colOff>
      <xdr:row>115</xdr:row>
      <xdr:rowOff>38100</xdr:rowOff>
    </xdr:to>
    <xdr:graphicFrame macro="">
      <xdr:nvGraphicFramePr>
        <xdr:cNvPr id="38" name="Graphique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p/2.%20EXCEA/ExCEA%20-%20Production/01.000.%20AMO/06.001.%20F3E/006.%20F3E%20-%20EX%202022/999999/Users/FRED/4.%20EXCEA/ExCEA%20-%20Production/01.015.%20ANSA/003.%20ANSA%20-%20EXP/003.%20ANSA%20-%20EX%202019/002.%20ANSA%20-%20Budge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-ANSA\Administratif\05%20Convention\04%20convention%20CT_2009\ANSA_2009_%20suivi%20des%20conventions%20et%20staffing_20081107%20(R&#233;cup&#233;r&#23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am\Accounts\Laure%20Zeiger\Budget\FY08\version%20def\FY07%20Budget%20Pack-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/4.%20EXCEA/ExCEA%20-%20Production/01.015.%20ANSA/003.%20ANSA%20-%20EXP/003.%20ANSA%20-%20EX%202019/002.%20ANSA%20-%20Budget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/AppData/Roaming/Microsoft/Excel/OURIA%202019/ANSA%20-%20AIS%202018%20centre%20expertis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2019"/>
      <sheetName val="CERFA"/>
      <sheetName val="BUDGET 2014"/>
      <sheetName val="Recap"/>
      <sheetName val="mb"/>
      <sheetName val="Présentation"/>
    </sheetNames>
    <sheetDataSet>
      <sheetData sheetId="0"/>
      <sheetData sheetId="1"/>
      <sheetData sheetId="2"/>
      <sheetData sheetId="3">
        <row r="6">
          <cell r="F6">
            <v>950</v>
          </cell>
        </row>
        <row r="8">
          <cell r="F8">
            <v>213</v>
          </cell>
        </row>
        <row r="9">
          <cell r="F9">
            <v>0.68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ventions CG ou VILLE"/>
      <sheetName val="conventions autres partenaires"/>
      <sheetName val="convent° autres ¨partena° 2008"/>
    </sheetNames>
    <sheetDataSet>
      <sheetData sheetId="0" refreshError="1"/>
      <sheetData sheetId="1">
        <row r="1">
          <cell r="A1" t="str">
            <v xml:space="preserve">Suivi des conventions 2009 autres partenaires </v>
          </cell>
        </row>
        <row r="2">
          <cell r="A2" t="str">
            <v xml:space="preserve">Partenaires </v>
          </cell>
        </row>
        <row r="3">
          <cell r="A3" t="str">
            <v>DIIESES</v>
          </cell>
        </row>
        <row r="5">
          <cell r="A5" t="str">
            <v>CDC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gn-Off"/>
      <sheetName val="Overview"/>
      <sheetName val="KPI's"/>
      <sheetName val="Hiring"/>
      <sheetName val="Narrative"/>
      <sheetName val="P &amp; L"/>
      <sheetName val="Schedule I.Sales, NR &amp; Backlog"/>
      <sheetName val="Schedule II. Gross Rev"/>
      <sheetName val="Schedule III. Resource Plan"/>
      <sheetName val="Schedule IV. Staffing&amp;Training"/>
      <sheetName val="Schedule V. Cost Analysis"/>
      <sheetName val="Schedule VI. Tax"/>
      <sheetName val="Schedule VII. Working Capital"/>
      <sheetName val="Schedule VIII. Fixed Assets"/>
      <sheetName val="Schedule IX. FY06 &amp; FY05 info"/>
      <sheetName val="Profit &amp; Loss"/>
      <sheetName val="WC Statement-External"/>
      <sheetName val="WC Statement-Internal"/>
      <sheetName val="Cash flow-External"/>
      <sheetName val="Cash flow-Combined"/>
      <sheetName val="Cash flow-Direct"/>
      <sheetName val="Cash Flow (Europe format)"/>
      <sheetName val="KPI"/>
      <sheetName val="Summary Output"/>
      <sheetName val="Data"/>
    </sheetNames>
    <sheetDataSet>
      <sheetData sheetId="0" refreshError="1">
        <row r="6">
          <cell r="H6">
            <v>2007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3">
          <cell r="A3">
            <v>2004</v>
          </cell>
          <cell r="B3">
            <v>37741</v>
          </cell>
          <cell r="C3">
            <v>37772</v>
          </cell>
          <cell r="D3">
            <v>37802</v>
          </cell>
          <cell r="E3">
            <v>37833</v>
          </cell>
          <cell r="F3">
            <v>37864</v>
          </cell>
          <cell r="G3">
            <v>37894</v>
          </cell>
          <cell r="H3">
            <v>37925</v>
          </cell>
          <cell r="I3">
            <v>37955</v>
          </cell>
          <cell r="J3">
            <v>37986</v>
          </cell>
          <cell r="K3">
            <v>38017</v>
          </cell>
          <cell r="L3">
            <v>38046</v>
          </cell>
          <cell r="M3">
            <v>38077</v>
          </cell>
        </row>
        <row r="4">
          <cell r="A4">
            <v>2005</v>
          </cell>
          <cell r="B4">
            <v>38107</v>
          </cell>
          <cell r="C4">
            <v>38138</v>
          </cell>
          <cell r="D4">
            <v>38168</v>
          </cell>
          <cell r="E4">
            <v>38199</v>
          </cell>
          <cell r="F4">
            <v>38230</v>
          </cell>
          <cell r="G4">
            <v>38260</v>
          </cell>
          <cell r="H4">
            <v>38291</v>
          </cell>
          <cell r="I4">
            <v>38321</v>
          </cell>
          <cell r="J4">
            <v>38352</v>
          </cell>
          <cell r="K4">
            <v>38383</v>
          </cell>
          <cell r="L4">
            <v>38411</v>
          </cell>
          <cell r="M4">
            <v>38442</v>
          </cell>
        </row>
        <row r="5">
          <cell r="A5">
            <v>2006</v>
          </cell>
          <cell r="B5">
            <v>38472</v>
          </cell>
          <cell r="C5">
            <v>38503</v>
          </cell>
          <cell r="D5">
            <v>38533</v>
          </cell>
          <cell r="E5">
            <v>38564</v>
          </cell>
          <cell r="F5">
            <v>38595</v>
          </cell>
          <cell r="G5">
            <v>38625</v>
          </cell>
          <cell r="H5">
            <v>38656</v>
          </cell>
          <cell r="I5">
            <v>38686</v>
          </cell>
          <cell r="J5">
            <v>38717</v>
          </cell>
          <cell r="K5">
            <v>38748</v>
          </cell>
          <cell r="L5">
            <v>38776</v>
          </cell>
          <cell r="M5">
            <v>38807</v>
          </cell>
        </row>
        <row r="6">
          <cell r="A6">
            <v>2007</v>
          </cell>
          <cell r="B6">
            <v>38837</v>
          </cell>
          <cell r="C6">
            <v>38868</v>
          </cell>
          <cell r="D6">
            <v>38898</v>
          </cell>
          <cell r="E6">
            <v>38929</v>
          </cell>
          <cell r="F6">
            <v>38960</v>
          </cell>
          <cell r="G6">
            <v>38990</v>
          </cell>
          <cell r="H6">
            <v>39021</v>
          </cell>
          <cell r="I6">
            <v>39051</v>
          </cell>
          <cell r="J6">
            <v>39082</v>
          </cell>
          <cell r="K6">
            <v>39113</v>
          </cell>
          <cell r="L6">
            <v>39141</v>
          </cell>
          <cell r="M6">
            <v>39172</v>
          </cell>
        </row>
        <row r="7">
          <cell r="A7">
            <v>2008</v>
          </cell>
          <cell r="B7">
            <v>39202</v>
          </cell>
          <cell r="C7">
            <v>39233</v>
          </cell>
          <cell r="D7">
            <v>39263</v>
          </cell>
          <cell r="E7">
            <v>39294</v>
          </cell>
          <cell r="F7">
            <v>39325</v>
          </cell>
          <cell r="G7">
            <v>39355</v>
          </cell>
          <cell r="H7">
            <v>39386</v>
          </cell>
          <cell r="I7">
            <v>39416</v>
          </cell>
          <cell r="J7">
            <v>39447</v>
          </cell>
          <cell r="K7">
            <v>39478</v>
          </cell>
          <cell r="L7">
            <v>39507</v>
          </cell>
          <cell r="M7">
            <v>39538</v>
          </cell>
        </row>
        <row r="8">
          <cell r="A8">
            <v>2009</v>
          </cell>
          <cell r="B8">
            <v>39568</v>
          </cell>
          <cell r="C8">
            <v>39599</v>
          </cell>
          <cell r="D8">
            <v>39629</v>
          </cell>
          <cell r="E8">
            <v>39660</v>
          </cell>
          <cell r="F8">
            <v>39691</v>
          </cell>
          <cell r="G8">
            <v>39721</v>
          </cell>
          <cell r="H8">
            <v>39752</v>
          </cell>
          <cell r="I8">
            <v>39782</v>
          </cell>
          <cell r="J8">
            <v>39813</v>
          </cell>
          <cell r="K8">
            <v>39844</v>
          </cell>
          <cell r="L8">
            <v>39872</v>
          </cell>
          <cell r="M8">
            <v>39903</v>
          </cell>
        </row>
        <row r="9">
          <cell r="A9">
            <v>2010</v>
          </cell>
          <cell r="B9">
            <v>39933</v>
          </cell>
          <cell r="C9">
            <v>39964</v>
          </cell>
          <cell r="D9">
            <v>39994</v>
          </cell>
          <cell r="E9">
            <v>40025</v>
          </cell>
          <cell r="F9">
            <v>40056</v>
          </cell>
          <cell r="G9">
            <v>40086</v>
          </cell>
          <cell r="H9">
            <v>40117</v>
          </cell>
          <cell r="I9">
            <v>40147</v>
          </cell>
          <cell r="J9">
            <v>40178</v>
          </cell>
          <cell r="K9">
            <v>40209</v>
          </cell>
          <cell r="L9">
            <v>40237</v>
          </cell>
          <cell r="M9">
            <v>40268</v>
          </cell>
        </row>
        <row r="10">
          <cell r="A10">
            <v>2011</v>
          </cell>
          <cell r="B10">
            <v>40298</v>
          </cell>
          <cell r="C10">
            <v>40329</v>
          </cell>
          <cell r="D10">
            <v>40359</v>
          </cell>
          <cell r="E10">
            <v>40390</v>
          </cell>
          <cell r="F10">
            <v>40421</v>
          </cell>
          <cell r="G10">
            <v>40451</v>
          </cell>
          <cell r="H10">
            <v>40482</v>
          </cell>
          <cell r="I10">
            <v>40512</v>
          </cell>
          <cell r="J10">
            <v>40543</v>
          </cell>
          <cell r="K10">
            <v>40574</v>
          </cell>
          <cell r="L10">
            <v>40602</v>
          </cell>
          <cell r="M10">
            <v>40633</v>
          </cell>
        </row>
        <row r="11">
          <cell r="A11">
            <v>2012</v>
          </cell>
          <cell r="B11">
            <v>40663</v>
          </cell>
          <cell r="C11">
            <v>40694</v>
          </cell>
          <cell r="D11">
            <v>40724</v>
          </cell>
          <cell r="E11">
            <v>40755</v>
          </cell>
          <cell r="F11">
            <v>40786</v>
          </cell>
          <cell r="G11">
            <v>40816</v>
          </cell>
          <cell r="H11">
            <v>40847</v>
          </cell>
          <cell r="I11">
            <v>40877</v>
          </cell>
          <cell r="J11">
            <v>40908</v>
          </cell>
          <cell r="K11">
            <v>40939</v>
          </cell>
          <cell r="L11">
            <v>40968</v>
          </cell>
          <cell r="M11">
            <v>40999</v>
          </cell>
        </row>
        <row r="12">
          <cell r="A12">
            <v>2013</v>
          </cell>
          <cell r="B12">
            <v>41029</v>
          </cell>
          <cell r="C12">
            <v>41060</v>
          </cell>
          <cell r="D12">
            <v>41090</v>
          </cell>
          <cell r="E12">
            <v>41121</v>
          </cell>
          <cell r="F12">
            <v>41152</v>
          </cell>
          <cell r="G12">
            <v>41182</v>
          </cell>
          <cell r="H12">
            <v>41213</v>
          </cell>
          <cell r="I12">
            <v>41243</v>
          </cell>
          <cell r="J12">
            <v>41274</v>
          </cell>
          <cell r="K12">
            <v>41305</v>
          </cell>
          <cell r="L12">
            <v>41333</v>
          </cell>
          <cell r="M12">
            <v>41364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2019"/>
      <sheetName val="CERFA"/>
      <sheetName val="BUDGET 2014"/>
      <sheetName val="Recap"/>
      <sheetName val="mb"/>
      <sheetName val="Présentation"/>
    </sheetNames>
    <sheetDataSet>
      <sheetData sheetId="0"/>
      <sheetData sheetId="1"/>
      <sheetData sheetId="2"/>
      <sheetData sheetId="3">
        <row r="6">
          <cell r="F6">
            <v>950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_Param"/>
      <sheetName val="SR_Menu Modele"/>
      <sheetName val="NOTICE"/>
      <sheetName val="SR_#1#SOURCE"/>
      <sheetName val="SR_#2#FILTRE"/>
      <sheetName val="SR_#3#PROFONDEUR"/>
      <sheetName val="INFORMATIONS"/>
      <sheetName val="SUIVI_PROJET"/>
      <sheetName val="CALCUL"/>
      <sheetName val="RECUP_TEMPS"/>
      <sheetName val="RECUP_HISTO"/>
      <sheetName val="RECUP_COMPTA"/>
      <sheetName val="GESTION_ACCES"/>
      <sheetName val="SR_Stat"/>
      <sheetName val="SR_Dim01"/>
      <sheetName val="SR_Dim02"/>
      <sheetName val="SR_Dim08"/>
      <sheetName val="SR_Dim09"/>
      <sheetName val="SR_Dim10"/>
      <sheetName val="SR_Dim14"/>
      <sheetName val="Audit_Temps"/>
      <sheetName val="ANSA - AIS 2018 centre expert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D4" t="str">
            <v>LE BARS Sylvie</v>
          </cell>
          <cell r="I4" t="str">
            <v>2019_12</v>
          </cell>
        </row>
        <row r="8">
          <cell r="I8" t="str">
            <v>AIS 2018 Centre d expertise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R232"/>
  <sheetViews>
    <sheetView workbookViewId="0"/>
  </sheetViews>
  <sheetFormatPr baseColWidth="10" defaultRowHeight="15" customHeight="1" x14ac:dyDescent="0.25"/>
  <cols>
    <col min="1" max="4" width="11.42578125" style="1"/>
    <col min="5" max="5" width="42.28515625" style="1" bestFit="1" customWidth="1"/>
    <col min="6" max="8" width="11.42578125" style="2"/>
    <col min="9" max="12" width="11.42578125" style="1"/>
    <col min="13" max="13" width="37.7109375" style="1" bestFit="1" customWidth="1"/>
    <col min="14" max="17" width="11.42578125" style="2"/>
    <col min="18" max="16384" width="11.42578125" style="1"/>
  </cols>
  <sheetData>
    <row r="1" spans="1:18" ht="15" customHeight="1" x14ac:dyDescent="0.25">
      <c r="A1" s="6" t="s">
        <v>17</v>
      </c>
      <c r="B1" s="5" t="s">
        <v>3</v>
      </c>
      <c r="C1" s="6" t="s">
        <v>1</v>
      </c>
      <c r="D1" s="5" t="s">
        <v>18</v>
      </c>
      <c r="E1" s="5" t="s">
        <v>2</v>
      </c>
      <c r="F1" s="8" t="s">
        <v>4</v>
      </c>
      <c r="G1" s="8" t="s">
        <v>5</v>
      </c>
      <c r="H1" s="5" t="s">
        <v>19</v>
      </c>
      <c r="I1" s="6" t="s">
        <v>6</v>
      </c>
      <c r="L1" s="5" t="s">
        <v>7</v>
      </c>
      <c r="M1" s="5"/>
      <c r="N1" s="3"/>
      <c r="O1" s="3"/>
      <c r="P1" s="3"/>
      <c r="Q1" s="3"/>
    </row>
    <row r="2" spans="1:18" ht="15" customHeight="1" x14ac:dyDescent="0.25">
      <c r="A2" s="4"/>
      <c r="I2" s="2">
        <f t="shared" ref="I2:I33" si="0">F2-G2</f>
        <v>0</v>
      </c>
      <c r="L2" s="5"/>
      <c r="M2" s="5"/>
      <c r="N2" s="3"/>
      <c r="O2" s="3"/>
      <c r="P2" s="3"/>
      <c r="Q2" s="3"/>
    </row>
    <row r="3" spans="1:18" ht="15" customHeight="1" x14ac:dyDescent="0.25">
      <c r="A3" s="4"/>
      <c r="I3" s="2">
        <f t="shared" si="0"/>
        <v>0</v>
      </c>
      <c r="L3" s="5" t="s">
        <v>21</v>
      </c>
      <c r="M3" s="5"/>
      <c r="N3" s="3"/>
      <c r="O3" s="3"/>
      <c r="P3" s="3"/>
      <c r="Q3" s="3"/>
    </row>
    <row r="4" spans="1:18" ht="15" customHeight="1" x14ac:dyDescent="0.25">
      <c r="A4" s="4"/>
      <c r="I4" s="2">
        <f t="shared" si="0"/>
        <v>0</v>
      </c>
      <c r="L4" s="5" t="s">
        <v>377</v>
      </c>
      <c r="M4" s="5" t="s">
        <v>378</v>
      </c>
      <c r="N4" s="3"/>
      <c r="O4" s="3"/>
      <c r="P4" s="3"/>
      <c r="Q4" s="3"/>
    </row>
    <row r="5" spans="1:18" ht="15" customHeight="1" x14ac:dyDescent="0.25">
      <c r="A5" s="4"/>
      <c r="I5" s="2">
        <f t="shared" si="0"/>
        <v>0</v>
      </c>
      <c r="L5" s="5" t="s">
        <v>22</v>
      </c>
      <c r="M5" s="5" t="s">
        <v>23</v>
      </c>
      <c r="N5" s="3" t="s">
        <v>24</v>
      </c>
      <c r="O5" s="3" t="s">
        <v>25</v>
      </c>
      <c r="P5" s="3" t="s">
        <v>26</v>
      </c>
      <c r="Q5" s="3" t="s">
        <v>27</v>
      </c>
      <c r="R5" s="6" t="s">
        <v>6</v>
      </c>
    </row>
    <row r="6" spans="1:18" ht="15" customHeight="1" x14ac:dyDescent="0.25">
      <c r="A6" s="4"/>
      <c r="I6" s="2">
        <f t="shared" si="0"/>
        <v>0</v>
      </c>
      <c r="R6" s="2">
        <f>P6-Q6</f>
        <v>0</v>
      </c>
    </row>
    <row r="7" spans="1:18" ht="15" customHeight="1" x14ac:dyDescent="0.25">
      <c r="A7" s="4"/>
      <c r="I7" s="2">
        <f t="shared" si="0"/>
        <v>0</v>
      </c>
      <c r="R7" s="2">
        <f t="shared" ref="R7:R70" si="1">P7-Q7</f>
        <v>0</v>
      </c>
    </row>
    <row r="8" spans="1:18" ht="15" customHeight="1" x14ac:dyDescent="0.25">
      <c r="A8" s="4"/>
      <c r="I8" s="2">
        <f t="shared" si="0"/>
        <v>0</v>
      </c>
      <c r="R8" s="2">
        <f t="shared" si="1"/>
        <v>0</v>
      </c>
    </row>
    <row r="9" spans="1:18" ht="15" customHeight="1" x14ac:dyDescent="0.25">
      <c r="A9" s="4"/>
      <c r="I9" s="2">
        <f t="shared" si="0"/>
        <v>0</v>
      </c>
      <c r="R9" s="2">
        <f t="shared" si="1"/>
        <v>0</v>
      </c>
    </row>
    <row r="10" spans="1:18" ht="15" customHeight="1" x14ac:dyDescent="0.25">
      <c r="A10" s="4"/>
      <c r="I10" s="2">
        <f t="shared" si="0"/>
        <v>0</v>
      </c>
      <c r="R10" s="2">
        <f t="shared" si="1"/>
        <v>0</v>
      </c>
    </row>
    <row r="11" spans="1:18" ht="15" customHeight="1" x14ac:dyDescent="0.25">
      <c r="A11" s="4"/>
      <c r="I11" s="2">
        <f t="shared" si="0"/>
        <v>0</v>
      </c>
      <c r="R11" s="2">
        <f t="shared" si="1"/>
        <v>0</v>
      </c>
    </row>
    <row r="12" spans="1:18" ht="15" customHeight="1" x14ac:dyDescent="0.25">
      <c r="A12" s="4"/>
      <c r="I12" s="2">
        <f t="shared" si="0"/>
        <v>0</v>
      </c>
      <c r="R12" s="2">
        <f t="shared" si="1"/>
        <v>0</v>
      </c>
    </row>
    <row r="13" spans="1:18" ht="15" customHeight="1" x14ac:dyDescent="0.25">
      <c r="A13" s="4"/>
      <c r="I13" s="2">
        <f t="shared" si="0"/>
        <v>0</v>
      </c>
      <c r="R13" s="2">
        <f t="shared" si="1"/>
        <v>0</v>
      </c>
    </row>
    <row r="14" spans="1:18" ht="15" customHeight="1" x14ac:dyDescent="0.25">
      <c r="A14" s="4"/>
      <c r="I14" s="2">
        <f t="shared" si="0"/>
        <v>0</v>
      </c>
      <c r="R14" s="2">
        <f t="shared" si="1"/>
        <v>0</v>
      </c>
    </row>
    <row r="15" spans="1:18" ht="15" customHeight="1" x14ac:dyDescent="0.25">
      <c r="A15" s="4"/>
      <c r="I15" s="2">
        <f t="shared" si="0"/>
        <v>0</v>
      </c>
      <c r="R15" s="2">
        <f t="shared" si="1"/>
        <v>0</v>
      </c>
    </row>
    <row r="16" spans="1:18" ht="15" customHeight="1" x14ac:dyDescent="0.25">
      <c r="A16" s="4"/>
      <c r="I16" s="2">
        <f t="shared" si="0"/>
        <v>0</v>
      </c>
      <c r="R16" s="2">
        <f t="shared" si="1"/>
        <v>0</v>
      </c>
    </row>
    <row r="17" spans="1:18" ht="15" customHeight="1" x14ac:dyDescent="0.25">
      <c r="A17" s="4"/>
      <c r="I17" s="2">
        <f t="shared" si="0"/>
        <v>0</v>
      </c>
      <c r="R17" s="2">
        <f t="shared" si="1"/>
        <v>0</v>
      </c>
    </row>
    <row r="18" spans="1:18" ht="15" customHeight="1" x14ac:dyDescent="0.25">
      <c r="A18" s="4"/>
      <c r="I18" s="2">
        <f t="shared" si="0"/>
        <v>0</v>
      </c>
      <c r="R18" s="2">
        <f t="shared" si="1"/>
        <v>0</v>
      </c>
    </row>
    <row r="19" spans="1:18" ht="15" customHeight="1" x14ac:dyDescent="0.25">
      <c r="A19" s="4"/>
      <c r="I19" s="2">
        <f t="shared" si="0"/>
        <v>0</v>
      </c>
      <c r="R19" s="2">
        <f t="shared" si="1"/>
        <v>0</v>
      </c>
    </row>
    <row r="20" spans="1:18" ht="15" customHeight="1" x14ac:dyDescent="0.25">
      <c r="A20" s="4"/>
      <c r="I20" s="2">
        <f t="shared" si="0"/>
        <v>0</v>
      </c>
      <c r="R20" s="2">
        <f t="shared" si="1"/>
        <v>0</v>
      </c>
    </row>
    <row r="21" spans="1:18" ht="15" customHeight="1" x14ac:dyDescent="0.25">
      <c r="A21" s="4"/>
      <c r="I21" s="2">
        <f t="shared" si="0"/>
        <v>0</v>
      </c>
      <c r="R21" s="2">
        <f t="shared" si="1"/>
        <v>0</v>
      </c>
    </row>
    <row r="22" spans="1:18" ht="15" customHeight="1" x14ac:dyDescent="0.25">
      <c r="A22" s="4"/>
      <c r="I22" s="2">
        <f t="shared" si="0"/>
        <v>0</v>
      </c>
      <c r="R22" s="2">
        <f t="shared" si="1"/>
        <v>0</v>
      </c>
    </row>
    <row r="23" spans="1:18" ht="15" customHeight="1" x14ac:dyDescent="0.25">
      <c r="A23" s="4"/>
      <c r="I23" s="2">
        <f t="shared" si="0"/>
        <v>0</v>
      </c>
      <c r="R23" s="2">
        <f t="shared" si="1"/>
        <v>0</v>
      </c>
    </row>
    <row r="24" spans="1:18" ht="15" customHeight="1" x14ac:dyDescent="0.25">
      <c r="A24" s="4"/>
      <c r="I24" s="2">
        <f t="shared" si="0"/>
        <v>0</v>
      </c>
      <c r="R24" s="2">
        <f t="shared" si="1"/>
        <v>0</v>
      </c>
    </row>
    <row r="25" spans="1:18" ht="15" customHeight="1" x14ac:dyDescent="0.25">
      <c r="A25" s="4"/>
      <c r="I25" s="2">
        <f t="shared" si="0"/>
        <v>0</v>
      </c>
      <c r="R25" s="2">
        <f t="shared" si="1"/>
        <v>0</v>
      </c>
    </row>
    <row r="26" spans="1:18" ht="15" customHeight="1" x14ac:dyDescent="0.25">
      <c r="A26" s="4"/>
      <c r="I26" s="2">
        <f t="shared" si="0"/>
        <v>0</v>
      </c>
      <c r="R26" s="2">
        <f t="shared" si="1"/>
        <v>0</v>
      </c>
    </row>
    <row r="27" spans="1:18" ht="15" customHeight="1" x14ac:dyDescent="0.25">
      <c r="A27" s="4"/>
      <c r="I27" s="2">
        <f t="shared" si="0"/>
        <v>0</v>
      </c>
      <c r="R27" s="2">
        <f t="shared" si="1"/>
        <v>0</v>
      </c>
    </row>
    <row r="28" spans="1:18" ht="15" customHeight="1" x14ac:dyDescent="0.25">
      <c r="A28" s="4"/>
      <c r="I28" s="2">
        <f t="shared" si="0"/>
        <v>0</v>
      </c>
      <c r="R28" s="2">
        <f t="shared" si="1"/>
        <v>0</v>
      </c>
    </row>
    <row r="29" spans="1:18" ht="15" customHeight="1" x14ac:dyDescent="0.25">
      <c r="A29" s="4"/>
      <c r="I29" s="2">
        <f t="shared" si="0"/>
        <v>0</v>
      </c>
      <c r="R29" s="2">
        <f t="shared" si="1"/>
        <v>0</v>
      </c>
    </row>
    <row r="30" spans="1:18" ht="15" customHeight="1" x14ac:dyDescent="0.25">
      <c r="A30" s="4"/>
      <c r="I30" s="2">
        <f t="shared" si="0"/>
        <v>0</v>
      </c>
      <c r="R30" s="2">
        <f t="shared" si="1"/>
        <v>0</v>
      </c>
    </row>
    <row r="31" spans="1:18" ht="15" customHeight="1" x14ac:dyDescent="0.25">
      <c r="A31" s="4"/>
      <c r="I31" s="2">
        <f t="shared" si="0"/>
        <v>0</v>
      </c>
      <c r="R31" s="2">
        <f t="shared" si="1"/>
        <v>0</v>
      </c>
    </row>
    <row r="32" spans="1:18" ht="15" customHeight="1" x14ac:dyDescent="0.25">
      <c r="A32" s="4"/>
      <c r="I32" s="2">
        <f t="shared" si="0"/>
        <v>0</v>
      </c>
      <c r="R32" s="2">
        <f t="shared" si="1"/>
        <v>0</v>
      </c>
    </row>
    <row r="33" spans="1:18" ht="15" customHeight="1" x14ac:dyDescent="0.25">
      <c r="A33" s="4"/>
      <c r="I33" s="2">
        <f t="shared" si="0"/>
        <v>0</v>
      </c>
      <c r="R33" s="2">
        <f t="shared" si="1"/>
        <v>0</v>
      </c>
    </row>
    <row r="34" spans="1:18" ht="15" customHeight="1" x14ac:dyDescent="0.25">
      <c r="A34" s="4"/>
      <c r="I34" s="2">
        <f t="shared" ref="I34:I65" si="2">F34-G34</f>
        <v>0</v>
      </c>
      <c r="M34" s="215"/>
      <c r="R34" s="2">
        <f t="shared" si="1"/>
        <v>0</v>
      </c>
    </row>
    <row r="35" spans="1:18" ht="15" customHeight="1" x14ac:dyDescent="0.25">
      <c r="A35" s="4"/>
      <c r="I35" s="2">
        <f t="shared" si="2"/>
        <v>0</v>
      </c>
      <c r="R35" s="2">
        <f t="shared" si="1"/>
        <v>0</v>
      </c>
    </row>
    <row r="36" spans="1:18" ht="15" customHeight="1" x14ac:dyDescent="0.25">
      <c r="A36" s="4"/>
      <c r="I36" s="2">
        <f t="shared" si="2"/>
        <v>0</v>
      </c>
      <c r="R36" s="2">
        <f t="shared" si="1"/>
        <v>0</v>
      </c>
    </row>
    <row r="37" spans="1:18" ht="15" customHeight="1" x14ac:dyDescent="0.25">
      <c r="A37" s="4"/>
      <c r="I37" s="2">
        <f t="shared" si="2"/>
        <v>0</v>
      </c>
      <c r="R37" s="2">
        <f t="shared" si="1"/>
        <v>0</v>
      </c>
    </row>
    <row r="38" spans="1:18" ht="15" customHeight="1" x14ac:dyDescent="0.25">
      <c r="A38" s="4"/>
      <c r="I38" s="2">
        <f t="shared" si="2"/>
        <v>0</v>
      </c>
      <c r="R38" s="2">
        <f t="shared" si="1"/>
        <v>0</v>
      </c>
    </row>
    <row r="39" spans="1:18" ht="15" customHeight="1" x14ac:dyDescent="0.25">
      <c r="A39" s="4"/>
      <c r="I39" s="2">
        <f t="shared" si="2"/>
        <v>0</v>
      </c>
      <c r="R39" s="2">
        <f t="shared" si="1"/>
        <v>0</v>
      </c>
    </row>
    <row r="40" spans="1:18" ht="15" customHeight="1" x14ac:dyDescent="0.25">
      <c r="A40" s="4"/>
      <c r="I40" s="2">
        <f t="shared" si="2"/>
        <v>0</v>
      </c>
      <c r="R40" s="2">
        <f t="shared" si="1"/>
        <v>0</v>
      </c>
    </row>
    <row r="41" spans="1:18" ht="15" customHeight="1" x14ac:dyDescent="0.25">
      <c r="A41" s="4"/>
      <c r="I41" s="2">
        <f t="shared" si="2"/>
        <v>0</v>
      </c>
      <c r="R41" s="2">
        <f t="shared" si="1"/>
        <v>0</v>
      </c>
    </row>
    <row r="42" spans="1:18" ht="15" customHeight="1" x14ac:dyDescent="0.25">
      <c r="A42" s="4"/>
      <c r="I42" s="2">
        <f t="shared" si="2"/>
        <v>0</v>
      </c>
      <c r="R42" s="2">
        <f t="shared" si="1"/>
        <v>0</v>
      </c>
    </row>
    <row r="43" spans="1:18" ht="15" customHeight="1" x14ac:dyDescent="0.25">
      <c r="A43" s="4"/>
      <c r="I43" s="2">
        <f t="shared" si="2"/>
        <v>0</v>
      </c>
      <c r="R43" s="2">
        <f t="shared" si="1"/>
        <v>0</v>
      </c>
    </row>
    <row r="44" spans="1:18" ht="15" customHeight="1" x14ac:dyDescent="0.25">
      <c r="A44" s="4"/>
      <c r="I44" s="2">
        <f t="shared" si="2"/>
        <v>0</v>
      </c>
      <c r="R44" s="2">
        <f t="shared" si="1"/>
        <v>0</v>
      </c>
    </row>
    <row r="45" spans="1:18" ht="15" customHeight="1" x14ac:dyDescent="0.25">
      <c r="A45" s="4"/>
      <c r="I45" s="2">
        <f t="shared" si="2"/>
        <v>0</v>
      </c>
      <c r="R45" s="2">
        <f t="shared" si="1"/>
        <v>0</v>
      </c>
    </row>
    <row r="46" spans="1:18" ht="15" customHeight="1" x14ac:dyDescent="0.25">
      <c r="A46" s="4"/>
      <c r="I46" s="2">
        <f t="shared" si="2"/>
        <v>0</v>
      </c>
      <c r="R46" s="2">
        <f t="shared" si="1"/>
        <v>0</v>
      </c>
    </row>
    <row r="47" spans="1:18" ht="15" customHeight="1" x14ac:dyDescent="0.25">
      <c r="A47" s="4"/>
      <c r="I47" s="2">
        <f t="shared" si="2"/>
        <v>0</v>
      </c>
      <c r="R47" s="2">
        <f t="shared" si="1"/>
        <v>0</v>
      </c>
    </row>
    <row r="48" spans="1:18" ht="15" customHeight="1" x14ac:dyDescent="0.25">
      <c r="A48" s="4"/>
      <c r="I48" s="2">
        <f t="shared" si="2"/>
        <v>0</v>
      </c>
      <c r="R48" s="2">
        <f t="shared" si="1"/>
        <v>0</v>
      </c>
    </row>
    <row r="49" spans="1:18" ht="15" customHeight="1" x14ac:dyDescent="0.25">
      <c r="A49" s="4"/>
      <c r="I49" s="2">
        <f t="shared" si="2"/>
        <v>0</v>
      </c>
      <c r="R49" s="2">
        <f t="shared" si="1"/>
        <v>0</v>
      </c>
    </row>
    <row r="50" spans="1:18" ht="15" customHeight="1" x14ac:dyDescent="0.25">
      <c r="A50" s="4"/>
      <c r="I50" s="2">
        <f t="shared" si="2"/>
        <v>0</v>
      </c>
      <c r="R50" s="2">
        <f t="shared" si="1"/>
        <v>0</v>
      </c>
    </row>
    <row r="51" spans="1:18" ht="15" customHeight="1" x14ac:dyDescent="0.25">
      <c r="A51" s="4"/>
      <c r="I51" s="2">
        <f t="shared" si="2"/>
        <v>0</v>
      </c>
      <c r="R51" s="2">
        <f t="shared" si="1"/>
        <v>0</v>
      </c>
    </row>
    <row r="52" spans="1:18" ht="15" customHeight="1" x14ac:dyDescent="0.25">
      <c r="A52" s="4"/>
      <c r="I52" s="2">
        <f t="shared" si="2"/>
        <v>0</v>
      </c>
      <c r="R52" s="2">
        <f t="shared" si="1"/>
        <v>0</v>
      </c>
    </row>
    <row r="53" spans="1:18" ht="15" customHeight="1" x14ac:dyDescent="0.25">
      <c r="A53" s="4"/>
      <c r="I53" s="2">
        <f t="shared" si="2"/>
        <v>0</v>
      </c>
      <c r="R53" s="2">
        <f t="shared" si="1"/>
        <v>0</v>
      </c>
    </row>
    <row r="54" spans="1:18" ht="15" customHeight="1" x14ac:dyDescent="0.25">
      <c r="A54" s="4"/>
      <c r="I54" s="2">
        <f t="shared" si="2"/>
        <v>0</v>
      </c>
      <c r="R54" s="2">
        <f t="shared" si="1"/>
        <v>0</v>
      </c>
    </row>
    <row r="55" spans="1:18" ht="15" customHeight="1" x14ac:dyDescent="0.25">
      <c r="A55" s="4"/>
      <c r="I55" s="2">
        <f t="shared" si="2"/>
        <v>0</v>
      </c>
      <c r="R55" s="2">
        <f t="shared" si="1"/>
        <v>0</v>
      </c>
    </row>
    <row r="56" spans="1:18" ht="15" customHeight="1" x14ac:dyDescent="0.25">
      <c r="A56" s="4"/>
      <c r="I56" s="2">
        <f t="shared" si="2"/>
        <v>0</v>
      </c>
      <c r="R56" s="2">
        <f t="shared" si="1"/>
        <v>0</v>
      </c>
    </row>
    <row r="57" spans="1:18" ht="15" customHeight="1" x14ac:dyDescent="0.25">
      <c r="A57" s="4"/>
      <c r="I57" s="2">
        <f t="shared" si="2"/>
        <v>0</v>
      </c>
      <c r="R57" s="2">
        <f t="shared" si="1"/>
        <v>0</v>
      </c>
    </row>
    <row r="58" spans="1:18" ht="15" customHeight="1" x14ac:dyDescent="0.25">
      <c r="A58" s="4"/>
      <c r="I58" s="2">
        <f t="shared" si="2"/>
        <v>0</v>
      </c>
      <c r="R58" s="2">
        <f t="shared" si="1"/>
        <v>0</v>
      </c>
    </row>
    <row r="59" spans="1:18" ht="15" customHeight="1" x14ac:dyDescent="0.25">
      <c r="A59" s="4"/>
      <c r="I59" s="2">
        <f t="shared" si="2"/>
        <v>0</v>
      </c>
      <c r="R59" s="2">
        <f t="shared" si="1"/>
        <v>0</v>
      </c>
    </row>
    <row r="60" spans="1:18" ht="15" customHeight="1" x14ac:dyDescent="0.25">
      <c r="A60" s="4"/>
      <c r="I60" s="2">
        <f t="shared" si="2"/>
        <v>0</v>
      </c>
      <c r="R60" s="2">
        <f t="shared" si="1"/>
        <v>0</v>
      </c>
    </row>
    <row r="61" spans="1:18" ht="15" customHeight="1" x14ac:dyDescent="0.25">
      <c r="A61" s="4"/>
      <c r="I61" s="2">
        <f t="shared" si="2"/>
        <v>0</v>
      </c>
      <c r="R61" s="2">
        <f t="shared" si="1"/>
        <v>0</v>
      </c>
    </row>
    <row r="62" spans="1:18" ht="15" customHeight="1" x14ac:dyDescent="0.25">
      <c r="A62" s="4"/>
      <c r="I62" s="2">
        <f t="shared" si="2"/>
        <v>0</v>
      </c>
      <c r="R62" s="2">
        <f t="shared" si="1"/>
        <v>0</v>
      </c>
    </row>
    <row r="63" spans="1:18" ht="15" customHeight="1" x14ac:dyDescent="0.25">
      <c r="A63" s="4"/>
      <c r="I63" s="2">
        <f t="shared" si="2"/>
        <v>0</v>
      </c>
      <c r="R63" s="2">
        <f t="shared" si="1"/>
        <v>0</v>
      </c>
    </row>
    <row r="64" spans="1:18" ht="15" customHeight="1" x14ac:dyDescent="0.25">
      <c r="A64" s="4"/>
      <c r="I64" s="2">
        <f t="shared" si="2"/>
        <v>0</v>
      </c>
      <c r="R64" s="2">
        <f t="shared" si="1"/>
        <v>0</v>
      </c>
    </row>
    <row r="65" spans="1:18" ht="15" customHeight="1" x14ac:dyDescent="0.25">
      <c r="A65" s="4"/>
      <c r="I65" s="2">
        <f t="shared" si="2"/>
        <v>0</v>
      </c>
      <c r="R65" s="2">
        <f t="shared" si="1"/>
        <v>0</v>
      </c>
    </row>
    <row r="66" spans="1:18" ht="15" customHeight="1" x14ac:dyDescent="0.25">
      <c r="A66" s="4"/>
      <c r="I66" s="2">
        <f t="shared" ref="I66:I97" si="3">F66-G66</f>
        <v>0</v>
      </c>
      <c r="R66" s="2">
        <f t="shared" si="1"/>
        <v>0</v>
      </c>
    </row>
    <row r="67" spans="1:18" ht="15" customHeight="1" x14ac:dyDescent="0.25">
      <c r="A67" s="4"/>
      <c r="I67" s="2">
        <f t="shared" si="3"/>
        <v>0</v>
      </c>
      <c r="R67" s="2">
        <f t="shared" si="1"/>
        <v>0</v>
      </c>
    </row>
    <row r="68" spans="1:18" ht="15" customHeight="1" x14ac:dyDescent="0.25">
      <c r="A68" s="4"/>
      <c r="I68" s="2">
        <f t="shared" si="3"/>
        <v>0</v>
      </c>
      <c r="R68" s="2">
        <f t="shared" si="1"/>
        <v>0</v>
      </c>
    </row>
    <row r="69" spans="1:18" ht="15" customHeight="1" x14ac:dyDescent="0.25">
      <c r="A69" s="4"/>
      <c r="I69" s="2">
        <f t="shared" si="3"/>
        <v>0</v>
      </c>
      <c r="R69" s="2">
        <f t="shared" si="1"/>
        <v>0</v>
      </c>
    </row>
    <row r="70" spans="1:18" ht="15" customHeight="1" x14ac:dyDescent="0.25">
      <c r="A70" s="4"/>
      <c r="I70" s="2">
        <f t="shared" si="3"/>
        <v>0</v>
      </c>
      <c r="R70" s="2">
        <f t="shared" si="1"/>
        <v>0</v>
      </c>
    </row>
    <row r="71" spans="1:18" ht="15" customHeight="1" x14ac:dyDescent="0.25">
      <c r="A71" s="4"/>
      <c r="I71" s="2">
        <f t="shared" si="3"/>
        <v>0</v>
      </c>
      <c r="R71" s="2">
        <f t="shared" ref="R71:R134" si="4">P71-Q71</f>
        <v>0</v>
      </c>
    </row>
    <row r="72" spans="1:18" ht="15" customHeight="1" x14ac:dyDescent="0.25">
      <c r="A72" s="4"/>
      <c r="I72" s="2">
        <f t="shared" si="3"/>
        <v>0</v>
      </c>
      <c r="R72" s="2">
        <f t="shared" si="4"/>
        <v>0</v>
      </c>
    </row>
    <row r="73" spans="1:18" ht="15" customHeight="1" x14ac:dyDescent="0.25">
      <c r="A73" s="4"/>
      <c r="I73" s="2">
        <f t="shared" si="3"/>
        <v>0</v>
      </c>
      <c r="R73" s="2">
        <f t="shared" si="4"/>
        <v>0</v>
      </c>
    </row>
    <row r="74" spans="1:18" ht="15" customHeight="1" x14ac:dyDescent="0.25">
      <c r="A74" s="4"/>
      <c r="I74" s="2">
        <f t="shared" si="3"/>
        <v>0</v>
      </c>
      <c r="R74" s="2">
        <f t="shared" si="4"/>
        <v>0</v>
      </c>
    </row>
    <row r="75" spans="1:18" ht="15" customHeight="1" x14ac:dyDescent="0.25">
      <c r="A75" s="4"/>
      <c r="I75" s="2">
        <f t="shared" si="3"/>
        <v>0</v>
      </c>
      <c r="R75" s="2">
        <f t="shared" si="4"/>
        <v>0</v>
      </c>
    </row>
    <row r="76" spans="1:18" ht="15" customHeight="1" x14ac:dyDescent="0.25">
      <c r="A76" s="4"/>
      <c r="I76" s="2">
        <f t="shared" si="3"/>
        <v>0</v>
      </c>
      <c r="R76" s="2">
        <f t="shared" si="4"/>
        <v>0</v>
      </c>
    </row>
    <row r="77" spans="1:18" ht="15" customHeight="1" x14ac:dyDescent="0.25">
      <c r="A77" s="4"/>
      <c r="I77" s="2">
        <f t="shared" si="3"/>
        <v>0</v>
      </c>
      <c r="R77" s="2">
        <f t="shared" si="4"/>
        <v>0</v>
      </c>
    </row>
    <row r="78" spans="1:18" ht="15" customHeight="1" x14ac:dyDescent="0.25">
      <c r="A78" s="4"/>
      <c r="I78" s="2">
        <f t="shared" si="3"/>
        <v>0</v>
      </c>
      <c r="R78" s="2">
        <f t="shared" si="4"/>
        <v>0</v>
      </c>
    </row>
    <row r="79" spans="1:18" ht="15" customHeight="1" x14ac:dyDescent="0.25">
      <c r="A79" s="4"/>
      <c r="I79" s="2">
        <f t="shared" si="3"/>
        <v>0</v>
      </c>
      <c r="R79" s="2">
        <f t="shared" si="4"/>
        <v>0</v>
      </c>
    </row>
    <row r="80" spans="1:18" ht="15" customHeight="1" x14ac:dyDescent="0.25">
      <c r="A80" s="4"/>
      <c r="I80" s="2">
        <f t="shared" si="3"/>
        <v>0</v>
      </c>
      <c r="R80" s="2">
        <f t="shared" si="4"/>
        <v>0</v>
      </c>
    </row>
    <row r="81" spans="1:18" ht="15" customHeight="1" x14ac:dyDescent="0.25">
      <c r="A81" s="4"/>
      <c r="I81" s="2">
        <f t="shared" si="3"/>
        <v>0</v>
      </c>
      <c r="R81" s="2">
        <f t="shared" si="4"/>
        <v>0</v>
      </c>
    </row>
    <row r="82" spans="1:18" ht="15" customHeight="1" x14ac:dyDescent="0.25">
      <c r="A82" s="4"/>
      <c r="I82" s="2">
        <f t="shared" si="3"/>
        <v>0</v>
      </c>
      <c r="R82" s="2">
        <f t="shared" si="4"/>
        <v>0</v>
      </c>
    </row>
    <row r="83" spans="1:18" ht="15" customHeight="1" x14ac:dyDescent="0.25">
      <c r="A83" s="4"/>
      <c r="I83" s="2">
        <f t="shared" si="3"/>
        <v>0</v>
      </c>
      <c r="R83" s="2">
        <f t="shared" si="4"/>
        <v>0</v>
      </c>
    </row>
    <row r="84" spans="1:18" ht="15" customHeight="1" x14ac:dyDescent="0.25">
      <c r="A84" s="4"/>
      <c r="I84" s="2">
        <f t="shared" si="3"/>
        <v>0</v>
      </c>
      <c r="R84" s="2">
        <f t="shared" si="4"/>
        <v>0</v>
      </c>
    </row>
    <row r="85" spans="1:18" ht="15" customHeight="1" x14ac:dyDescent="0.25">
      <c r="A85" s="4"/>
      <c r="I85" s="2">
        <f t="shared" si="3"/>
        <v>0</v>
      </c>
      <c r="R85" s="2">
        <f t="shared" si="4"/>
        <v>0</v>
      </c>
    </row>
    <row r="86" spans="1:18" ht="15" customHeight="1" x14ac:dyDescent="0.25">
      <c r="A86" s="4"/>
      <c r="I86" s="2">
        <f t="shared" si="3"/>
        <v>0</v>
      </c>
      <c r="R86" s="2">
        <f t="shared" si="4"/>
        <v>0</v>
      </c>
    </row>
    <row r="87" spans="1:18" ht="15" customHeight="1" x14ac:dyDescent="0.25">
      <c r="A87" s="4"/>
      <c r="I87" s="2">
        <f t="shared" si="3"/>
        <v>0</v>
      </c>
      <c r="R87" s="2">
        <f t="shared" si="4"/>
        <v>0</v>
      </c>
    </row>
    <row r="88" spans="1:18" ht="15" customHeight="1" x14ac:dyDescent="0.25">
      <c r="A88" s="4"/>
      <c r="I88" s="2">
        <f t="shared" si="3"/>
        <v>0</v>
      </c>
      <c r="R88" s="2">
        <f t="shared" si="4"/>
        <v>0</v>
      </c>
    </row>
    <row r="89" spans="1:18" ht="15" customHeight="1" x14ac:dyDescent="0.25">
      <c r="A89" s="4"/>
      <c r="I89" s="2">
        <f t="shared" si="3"/>
        <v>0</v>
      </c>
      <c r="R89" s="2">
        <f t="shared" si="4"/>
        <v>0</v>
      </c>
    </row>
    <row r="90" spans="1:18" ht="15" customHeight="1" x14ac:dyDescent="0.25">
      <c r="A90" s="4"/>
      <c r="I90" s="2">
        <f t="shared" si="3"/>
        <v>0</v>
      </c>
      <c r="R90" s="2">
        <f t="shared" si="4"/>
        <v>0</v>
      </c>
    </row>
    <row r="91" spans="1:18" ht="15" customHeight="1" x14ac:dyDescent="0.25">
      <c r="A91" s="4"/>
      <c r="I91" s="2">
        <f t="shared" si="3"/>
        <v>0</v>
      </c>
      <c r="R91" s="2">
        <f t="shared" si="4"/>
        <v>0</v>
      </c>
    </row>
    <row r="92" spans="1:18" ht="15" customHeight="1" x14ac:dyDescent="0.25">
      <c r="A92" s="4"/>
      <c r="I92" s="2">
        <f t="shared" si="3"/>
        <v>0</v>
      </c>
      <c r="R92" s="2">
        <f t="shared" si="4"/>
        <v>0</v>
      </c>
    </row>
    <row r="93" spans="1:18" ht="15" customHeight="1" x14ac:dyDescent="0.25">
      <c r="A93" s="4"/>
      <c r="I93" s="2">
        <f t="shared" si="3"/>
        <v>0</v>
      </c>
      <c r="R93" s="2">
        <f t="shared" si="4"/>
        <v>0</v>
      </c>
    </row>
    <row r="94" spans="1:18" ht="15" customHeight="1" x14ac:dyDescent="0.25">
      <c r="A94" s="4"/>
      <c r="I94" s="2">
        <f t="shared" si="3"/>
        <v>0</v>
      </c>
      <c r="R94" s="2">
        <f t="shared" si="4"/>
        <v>0</v>
      </c>
    </row>
    <row r="95" spans="1:18" ht="15" customHeight="1" x14ac:dyDescent="0.25">
      <c r="A95" s="4"/>
      <c r="I95" s="2">
        <f t="shared" si="3"/>
        <v>0</v>
      </c>
      <c r="R95" s="2">
        <f t="shared" si="4"/>
        <v>0</v>
      </c>
    </row>
    <row r="96" spans="1:18" ht="15" customHeight="1" x14ac:dyDescent="0.25">
      <c r="A96" s="4"/>
      <c r="I96" s="2">
        <f t="shared" si="3"/>
        <v>0</v>
      </c>
      <c r="R96" s="2">
        <f t="shared" si="4"/>
        <v>0</v>
      </c>
    </row>
    <row r="97" spans="1:18" ht="15" customHeight="1" x14ac:dyDescent="0.25">
      <c r="A97" s="4"/>
      <c r="I97" s="2">
        <f t="shared" si="3"/>
        <v>0</v>
      </c>
      <c r="R97" s="2">
        <f t="shared" si="4"/>
        <v>0</v>
      </c>
    </row>
    <row r="98" spans="1:18" ht="15" customHeight="1" x14ac:dyDescent="0.25">
      <c r="A98" s="4"/>
      <c r="I98" s="2">
        <f t="shared" ref="I98:I161" si="5">F98-G98</f>
        <v>0</v>
      </c>
      <c r="R98" s="2">
        <f t="shared" si="4"/>
        <v>0</v>
      </c>
    </row>
    <row r="99" spans="1:18" ht="15" customHeight="1" x14ac:dyDescent="0.25">
      <c r="A99" s="4"/>
      <c r="I99" s="2">
        <f t="shared" si="5"/>
        <v>0</v>
      </c>
      <c r="R99" s="2">
        <f t="shared" si="4"/>
        <v>0</v>
      </c>
    </row>
    <row r="100" spans="1:18" ht="15" customHeight="1" x14ac:dyDescent="0.25">
      <c r="A100" s="4"/>
      <c r="I100" s="2">
        <f t="shared" si="5"/>
        <v>0</v>
      </c>
      <c r="R100" s="2">
        <f t="shared" si="4"/>
        <v>0</v>
      </c>
    </row>
    <row r="101" spans="1:18" ht="15" customHeight="1" x14ac:dyDescent="0.25">
      <c r="A101" s="4"/>
      <c r="I101" s="2">
        <f t="shared" si="5"/>
        <v>0</v>
      </c>
      <c r="R101" s="2">
        <f t="shared" si="4"/>
        <v>0</v>
      </c>
    </row>
    <row r="102" spans="1:18" ht="15" customHeight="1" x14ac:dyDescent="0.25">
      <c r="A102" s="4"/>
      <c r="I102" s="2">
        <f t="shared" si="5"/>
        <v>0</v>
      </c>
      <c r="R102" s="2">
        <f t="shared" si="4"/>
        <v>0</v>
      </c>
    </row>
    <row r="103" spans="1:18" ht="15" customHeight="1" x14ac:dyDescent="0.25">
      <c r="A103" s="4"/>
      <c r="I103" s="2">
        <f t="shared" si="5"/>
        <v>0</v>
      </c>
      <c r="R103" s="2">
        <f t="shared" si="4"/>
        <v>0</v>
      </c>
    </row>
    <row r="104" spans="1:18" ht="15" customHeight="1" x14ac:dyDescent="0.25">
      <c r="A104" s="4"/>
      <c r="I104" s="2">
        <f t="shared" si="5"/>
        <v>0</v>
      </c>
      <c r="R104" s="2">
        <f t="shared" si="4"/>
        <v>0</v>
      </c>
    </row>
    <row r="105" spans="1:18" ht="15" customHeight="1" x14ac:dyDescent="0.25">
      <c r="A105" s="4"/>
      <c r="I105" s="2">
        <f t="shared" si="5"/>
        <v>0</v>
      </c>
      <c r="R105" s="2">
        <f t="shared" si="4"/>
        <v>0</v>
      </c>
    </row>
    <row r="106" spans="1:18" ht="15" customHeight="1" x14ac:dyDescent="0.25">
      <c r="A106" s="4"/>
      <c r="I106" s="2">
        <f t="shared" si="5"/>
        <v>0</v>
      </c>
      <c r="R106" s="2">
        <f t="shared" si="4"/>
        <v>0</v>
      </c>
    </row>
    <row r="107" spans="1:18" ht="15" customHeight="1" x14ac:dyDescent="0.25">
      <c r="A107" s="4"/>
      <c r="I107" s="2">
        <f t="shared" si="5"/>
        <v>0</v>
      </c>
      <c r="R107" s="2">
        <f t="shared" si="4"/>
        <v>0</v>
      </c>
    </row>
    <row r="108" spans="1:18" ht="15" customHeight="1" x14ac:dyDescent="0.25">
      <c r="A108" s="4"/>
      <c r="I108" s="2">
        <f t="shared" si="5"/>
        <v>0</v>
      </c>
      <c r="R108" s="2">
        <f t="shared" si="4"/>
        <v>0</v>
      </c>
    </row>
    <row r="109" spans="1:18" ht="15" customHeight="1" x14ac:dyDescent="0.25">
      <c r="A109" s="4"/>
      <c r="I109" s="2">
        <f t="shared" si="5"/>
        <v>0</v>
      </c>
      <c r="R109" s="2">
        <f t="shared" si="4"/>
        <v>0</v>
      </c>
    </row>
    <row r="110" spans="1:18" ht="15" customHeight="1" x14ac:dyDescent="0.25">
      <c r="A110" s="4"/>
      <c r="I110" s="2">
        <f t="shared" si="5"/>
        <v>0</v>
      </c>
      <c r="R110" s="2">
        <f t="shared" si="4"/>
        <v>0</v>
      </c>
    </row>
    <row r="111" spans="1:18" ht="15" customHeight="1" x14ac:dyDescent="0.25">
      <c r="A111" s="4"/>
      <c r="I111" s="2">
        <f t="shared" si="5"/>
        <v>0</v>
      </c>
      <c r="R111" s="2">
        <f t="shared" si="4"/>
        <v>0</v>
      </c>
    </row>
    <row r="112" spans="1:18" ht="15" customHeight="1" x14ac:dyDescent="0.25">
      <c r="A112" s="4"/>
      <c r="I112" s="2">
        <f t="shared" si="5"/>
        <v>0</v>
      </c>
      <c r="R112" s="2">
        <f t="shared" si="4"/>
        <v>0</v>
      </c>
    </row>
    <row r="113" spans="1:18" ht="15" customHeight="1" x14ac:dyDescent="0.25">
      <c r="A113" s="4"/>
      <c r="I113" s="2">
        <f t="shared" si="5"/>
        <v>0</v>
      </c>
      <c r="R113" s="2">
        <f t="shared" si="4"/>
        <v>0</v>
      </c>
    </row>
    <row r="114" spans="1:18" ht="15" customHeight="1" x14ac:dyDescent="0.25">
      <c r="A114" s="4"/>
      <c r="I114" s="2">
        <f t="shared" si="5"/>
        <v>0</v>
      </c>
      <c r="R114" s="2">
        <f t="shared" si="4"/>
        <v>0</v>
      </c>
    </row>
    <row r="115" spans="1:18" ht="15" customHeight="1" x14ac:dyDescent="0.25">
      <c r="A115" s="4"/>
      <c r="I115" s="2">
        <f t="shared" si="5"/>
        <v>0</v>
      </c>
      <c r="R115" s="2">
        <f t="shared" si="4"/>
        <v>0</v>
      </c>
    </row>
    <row r="116" spans="1:18" ht="15" customHeight="1" x14ac:dyDescent="0.25">
      <c r="A116" s="4"/>
      <c r="I116" s="2">
        <f t="shared" si="5"/>
        <v>0</v>
      </c>
      <c r="R116" s="2">
        <f t="shared" si="4"/>
        <v>0</v>
      </c>
    </row>
    <row r="117" spans="1:18" ht="15" customHeight="1" x14ac:dyDescent="0.25">
      <c r="A117" s="4"/>
      <c r="I117" s="2">
        <f t="shared" si="5"/>
        <v>0</v>
      </c>
      <c r="R117" s="2">
        <f t="shared" si="4"/>
        <v>0</v>
      </c>
    </row>
    <row r="118" spans="1:18" ht="15" customHeight="1" x14ac:dyDescent="0.25">
      <c r="A118" s="4"/>
      <c r="I118" s="2">
        <f t="shared" si="5"/>
        <v>0</v>
      </c>
      <c r="R118" s="2">
        <f t="shared" si="4"/>
        <v>0</v>
      </c>
    </row>
    <row r="119" spans="1:18" ht="15" customHeight="1" x14ac:dyDescent="0.25">
      <c r="A119" s="4"/>
      <c r="I119" s="2">
        <f t="shared" si="5"/>
        <v>0</v>
      </c>
      <c r="R119" s="2">
        <f t="shared" si="4"/>
        <v>0</v>
      </c>
    </row>
    <row r="120" spans="1:18" ht="15" customHeight="1" x14ac:dyDescent="0.25">
      <c r="A120" s="4"/>
      <c r="I120" s="2">
        <f t="shared" si="5"/>
        <v>0</v>
      </c>
      <c r="R120" s="2">
        <f t="shared" si="4"/>
        <v>0</v>
      </c>
    </row>
    <row r="121" spans="1:18" ht="15" customHeight="1" x14ac:dyDescent="0.25">
      <c r="A121" s="4"/>
      <c r="I121" s="2">
        <f t="shared" si="5"/>
        <v>0</v>
      </c>
      <c r="R121" s="2">
        <f t="shared" si="4"/>
        <v>0</v>
      </c>
    </row>
    <row r="122" spans="1:18" ht="15" customHeight="1" x14ac:dyDescent="0.25">
      <c r="A122" s="4"/>
      <c r="I122" s="2">
        <f t="shared" si="5"/>
        <v>0</v>
      </c>
      <c r="R122" s="2">
        <f t="shared" si="4"/>
        <v>0</v>
      </c>
    </row>
    <row r="123" spans="1:18" ht="15" customHeight="1" x14ac:dyDescent="0.25">
      <c r="A123" s="4"/>
      <c r="I123" s="2">
        <f t="shared" si="5"/>
        <v>0</v>
      </c>
      <c r="R123" s="2">
        <f t="shared" si="4"/>
        <v>0</v>
      </c>
    </row>
    <row r="124" spans="1:18" ht="15" customHeight="1" x14ac:dyDescent="0.25">
      <c r="A124" s="4"/>
      <c r="I124" s="2">
        <f t="shared" si="5"/>
        <v>0</v>
      </c>
      <c r="R124" s="2">
        <f t="shared" si="4"/>
        <v>0</v>
      </c>
    </row>
    <row r="125" spans="1:18" ht="15" customHeight="1" x14ac:dyDescent="0.25">
      <c r="A125" s="4"/>
      <c r="I125" s="2">
        <f t="shared" si="5"/>
        <v>0</v>
      </c>
      <c r="R125" s="2">
        <f t="shared" si="4"/>
        <v>0</v>
      </c>
    </row>
    <row r="126" spans="1:18" ht="15" customHeight="1" x14ac:dyDescent="0.25">
      <c r="A126" s="4"/>
      <c r="I126" s="2">
        <f t="shared" si="5"/>
        <v>0</v>
      </c>
      <c r="R126" s="2">
        <f t="shared" si="4"/>
        <v>0</v>
      </c>
    </row>
    <row r="127" spans="1:18" ht="15" customHeight="1" x14ac:dyDescent="0.25">
      <c r="A127" s="4"/>
      <c r="I127" s="2">
        <f t="shared" si="5"/>
        <v>0</v>
      </c>
      <c r="R127" s="2">
        <f t="shared" si="4"/>
        <v>0</v>
      </c>
    </row>
    <row r="128" spans="1:18" ht="15" customHeight="1" x14ac:dyDescent="0.25">
      <c r="A128" s="4"/>
      <c r="I128" s="2">
        <f t="shared" si="5"/>
        <v>0</v>
      </c>
      <c r="R128" s="2">
        <f t="shared" si="4"/>
        <v>0</v>
      </c>
    </row>
    <row r="129" spans="1:18" ht="15" customHeight="1" x14ac:dyDescent="0.25">
      <c r="A129" s="4"/>
      <c r="I129" s="2">
        <f t="shared" si="5"/>
        <v>0</v>
      </c>
      <c r="R129" s="2">
        <f t="shared" si="4"/>
        <v>0</v>
      </c>
    </row>
    <row r="130" spans="1:18" ht="15" customHeight="1" x14ac:dyDescent="0.25">
      <c r="A130" s="4"/>
      <c r="I130" s="2">
        <f t="shared" si="5"/>
        <v>0</v>
      </c>
      <c r="R130" s="2">
        <f t="shared" si="4"/>
        <v>0</v>
      </c>
    </row>
    <row r="131" spans="1:18" ht="15" customHeight="1" x14ac:dyDescent="0.25">
      <c r="A131" s="4"/>
      <c r="I131" s="2">
        <f t="shared" si="5"/>
        <v>0</v>
      </c>
      <c r="R131" s="2">
        <f t="shared" si="4"/>
        <v>0</v>
      </c>
    </row>
    <row r="132" spans="1:18" ht="15" customHeight="1" x14ac:dyDescent="0.25">
      <c r="A132" s="4"/>
      <c r="I132" s="2">
        <f t="shared" si="5"/>
        <v>0</v>
      </c>
      <c r="R132" s="2">
        <f t="shared" si="4"/>
        <v>0</v>
      </c>
    </row>
    <row r="133" spans="1:18" ht="15" customHeight="1" x14ac:dyDescent="0.25">
      <c r="A133" s="4"/>
      <c r="I133" s="2">
        <f t="shared" si="5"/>
        <v>0</v>
      </c>
      <c r="R133" s="2">
        <f t="shared" si="4"/>
        <v>0</v>
      </c>
    </row>
    <row r="134" spans="1:18" ht="15" customHeight="1" x14ac:dyDescent="0.25">
      <c r="A134" s="4"/>
      <c r="I134" s="2">
        <f t="shared" si="5"/>
        <v>0</v>
      </c>
      <c r="R134" s="2">
        <f t="shared" si="4"/>
        <v>0</v>
      </c>
    </row>
    <row r="135" spans="1:18" ht="15" customHeight="1" x14ac:dyDescent="0.25">
      <c r="A135" s="4"/>
      <c r="I135" s="2">
        <f t="shared" si="5"/>
        <v>0</v>
      </c>
      <c r="R135" s="2">
        <f t="shared" ref="R135:R179" si="6">P135-Q135</f>
        <v>0</v>
      </c>
    </row>
    <row r="136" spans="1:18" ht="15" customHeight="1" x14ac:dyDescent="0.25">
      <c r="A136" s="4"/>
      <c r="I136" s="2">
        <f t="shared" si="5"/>
        <v>0</v>
      </c>
      <c r="R136" s="2">
        <f t="shared" si="6"/>
        <v>0</v>
      </c>
    </row>
    <row r="137" spans="1:18" ht="15" customHeight="1" x14ac:dyDescent="0.25">
      <c r="A137" s="4"/>
      <c r="I137" s="2">
        <f t="shared" si="5"/>
        <v>0</v>
      </c>
      <c r="R137" s="2">
        <f t="shared" si="6"/>
        <v>0</v>
      </c>
    </row>
    <row r="138" spans="1:18" ht="15" customHeight="1" x14ac:dyDescent="0.25">
      <c r="A138" s="4"/>
      <c r="I138" s="2">
        <f t="shared" si="5"/>
        <v>0</v>
      </c>
      <c r="R138" s="2">
        <f t="shared" si="6"/>
        <v>0</v>
      </c>
    </row>
    <row r="139" spans="1:18" ht="15" customHeight="1" x14ac:dyDescent="0.25">
      <c r="A139" s="4"/>
      <c r="I139" s="2">
        <f t="shared" si="5"/>
        <v>0</v>
      </c>
      <c r="R139" s="2">
        <f t="shared" si="6"/>
        <v>0</v>
      </c>
    </row>
    <row r="140" spans="1:18" ht="15" customHeight="1" x14ac:dyDescent="0.25">
      <c r="A140" s="4"/>
      <c r="I140" s="2">
        <f t="shared" si="5"/>
        <v>0</v>
      </c>
      <c r="R140" s="2">
        <f t="shared" si="6"/>
        <v>0</v>
      </c>
    </row>
    <row r="141" spans="1:18" ht="15" customHeight="1" x14ac:dyDescent="0.25">
      <c r="A141" s="4"/>
      <c r="I141" s="2">
        <f t="shared" si="5"/>
        <v>0</v>
      </c>
      <c r="R141" s="2">
        <f t="shared" si="6"/>
        <v>0</v>
      </c>
    </row>
    <row r="142" spans="1:18" ht="15" customHeight="1" x14ac:dyDescent="0.25">
      <c r="A142" s="4"/>
      <c r="I142" s="2">
        <f t="shared" si="5"/>
        <v>0</v>
      </c>
      <c r="R142" s="2">
        <f t="shared" si="6"/>
        <v>0</v>
      </c>
    </row>
    <row r="143" spans="1:18" ht="15" customHeight="1" x14ac:dyDescent="0.25">
      <c r="A143" s="4"/>
      <c r="I143" s="2">
        <f t="shared" si="5"/>
        <v>0</v>
      </c>
      <c r="R143" s="2">
        <f t="shared" si="6"/>
        <v>0</v>
      </c>
    </row>
    <row r="144" spans="1:18" ht="15" customHeight="1" x14ac:dyDescent="0.25">
      <c r="A144" s="4"/>
      <c r="I144" s="2">
        <f t="shared" si="5"/>
        <v>0</v>
      </c>
      <c r="R144" s="2">
        <f t="shared" si="6"/>
        <v>0</v>
      </c>
    </row>
    <row r="145" spans="1:18" ht="15" customHeight="1" x14ac:dyDescent="0.25">
      <c r="A145" s="4"/>
      <c r="I145" s="2">
        <f t="shared" si="5"/>
        <v>0</v>
      </c>
      <c r="R145" s="2">
        <f t="shared" si="6"/>
        <v>0</v>
      </c>
    </row>
    <row r="146" spans="1:18" ht="15" customHeight="1" x14ac:dyDescent="0.25">
      <c r="A146" s="4"/>
      <c r="I146" s="2">
        <f t="shared" si="5"/>
        <v>0</v>
      </c>
      <c r="R146" s="2">
        <f t="shared" si="6"/>
        <v>0</v>
      </c>
    </row>
    <row r="147" spans="1:18" ht="15" customHeight="1" x14ac:dyDescent="0.25">
      <c r="A147" s="4"/>
      <c r="I147" s="2">
        <f t="shared" si="5"/>
        <v>0</v>
      </c>
      <c r="R147" s="2">
        <f t="shared" si="6"/>
        <v>0</v>
      </c>
    </row>
    <row r="148" spans="1:18" ht="15" customHeight="1" x14ac:dyDescent="0.25">
      <c r="A148" s="4"/>
      <c r="I148" s="2">
        <f t="shared" si="5"/>
        <v>0</v>
      </c>
      <c r="R148" s="2">
        <f t="shared" si="6"/>
        <v>0</v>
      </c>
    </row>
    <row r="149" spans="1:18" ht="15" customHeight="1" x14ac:dyDescent="0.25">
      <c r="A149" s="4"/>
      <c r="I149" s="2">
        <f t="shared" si="5"/>
        <v>0</v>
      </c>
      <c r="R149" s="2">
        <f t="shared" si="6"/>
        <v>0</v>
      </c>
    </row>
    <row r="150" spans="1:18" ht="15" customHeight="1" x14ac:dyDescent="0.25">
      <c r="A150" s="4"/>
      <c r="I150" s="2">
        <f t="shared" si="5"/>
        <v>0</v>
      </c>
      <c r="R150" s="2">
        <f t="shared" si="6"/>
        <v>0</v>
      </c>
    </row>
    <row r="151" spans="1:18" ht="15" customHeight="1" x14ac:dyDescent="0.25">
      <c r="I151" s="2">
        <f t="shared" si="5"/>
        <v>0</v>
      </c>
      <c r="R151" s="2">
        <f t="shared" si="6"/>
        <v>0</v>
      </c>
    </row>
    <row r="152" spans="1:18" ht="15" customHeight="1" x14ac:dyDescent="0.25">
      <c r="I152" s="2">
        <f t="shared" si="5"/>
        <v>0</v>
      </c>
      <c r="R152" s="2">
        <f t="shared" si="6"/>
        <v>0</v>
      </c>
    </row>
    <row r="153" spans="1:18" ht="15" customHeight="1" x14ac:dyDescent="0.25">
      <c r="I153" s="2">
        <f t="shared" si="5"/>
        <v>0</v>
      </c>
      <c r="R153" s="2">
        <f t="shared" si="6"/>
        <v>0</v>
      </c>
    </row>
    <row r="154" spans="1:18" ht="15" customHeight="1" x14ac:dyDescent="0.25">
      <c r="I154" s="2">
        <f t="shared" si="5"/>
        <v>0</v>
      </c>
      <c r="R154" s="2">
        <f t="shared" si="6"/>
        <v>0</v>
      </c>
    </row>
    <row r="155" spans="1:18" ht="15" customHeight="1" x14ac:dyDescent="0.25">
      <c r="I155" s="2">
        <f t="shared" si="5"/>
        <v>0</v>
      </c>
      <c r="R155" s="2">
        <f t="shared" si="6"/>
        <v>0</v>
      </c>
    </row>
    <row r="156" spans="1:18" ht="15" customHeight="1" x14ac:dyDescent="0.25">
      <c r="I156" s="2">
        <f t="shared" si="5"/>
        <v>0</v>
      </c>
      <c r="R156" s="2">
        <f t="shared" si="6"/>
        <v>0</v>
      </c>
    </row>
    <row r="157" spans="1:18" ht="15" customHeight="1" x14ac:dyDescent="0.25">
      <c r="I157" s="2">
        <f t="shared" si="5"/>
        <v>0</v>
      </c>
      <c r="R157" s="2">
        <f t="shared" si="6"/>
        <v>0</v>
      </c>
    </row>
    <row r="158" spans="1:18" ht="15" customHeight="1" x14ac:dyDescent="0.25">
      <c r="I158" s="2">
        <f t="shared" si="5"/>
        <v>0</v>
      </c>
      <c r="R158" s="2">
        <f t="shared" si="6"/>
        <v>0</v>
      </c>
    </row>
    <row r="159" spans="1:18" ht="15" customHeight="1" x14ac:dyDescent="0.25">
      <c r="I159" s="2">
        <f t="shared" si="5"/>
        <v>0</v>
      </c>
      <c r="R159" s="2">
        <f t="shared" si="6"/>
        <v>0</v>
      </c>
    </row>
    <row r="160" spans="1:18" ht="15" customHeight="1" x14ac:dyDescent="0.25">
      <c r="I160" s="2">
        <f t="shared" si="5"/>
        <v>0</v>
      </c>
      <c r="R160" s="2">
        <f t="shared" si="6"/>
        <v>0</v>
      </c>
    </row>
    <row r="161" spans="9:18" ht="15" customHeight="1" x14ac:dyDescent="0.25">
      <c r="I161" s="2">
        <f t="shared" si="5"/>
        <v>0</v>
      </c>
      <c r="R161" s="2">
        <f t="shared" si="6"/>
        <v>0</v>
      </c>
    </row>
    <row r="162" spans="9:18" ht="15" customHeight="1" x14ac:dyDescent="0.25">
      <c r="I162" s="2">
        <f t="shared" ref="I162:I179" si="7">F162-G162</f>
        <v>0</v>
      </c>
      <c r="R162" s="2">
        <f t="shared" si="6"/>
        <v>0</v>
      </c>
    </row>
    <row r="163" spans="9:18" ht="15" customHeight="1" x14ac:dyDescent="0.25">
      <c r="I163" s="2">
        <f t="shared" si="7"/>
        <v>0</v>
      </c>
      <c r="R163" s="2">
        <f t="shared" si="6"/>
        <v>0</v>
      </c>
    </row>
    <row r="164" spans="9:18" ht="15" customHeight="1" x14ac:dyDescent="0.25">
      <c r="I164" s="2">
        <f t="shared" si="7"/>
        <v>0</v>
      </c>
      <c r="R164" s="2">
        <f t="shared" si="6"/>
        <v>0</v>
      </c>
    </row>
    <row r="165" spans="9:18" ht="15" customHeight="1" x14ac:dyDescent="0.25">
      <c r="I165" s="2">
        <f t="shared" si="7"/>
        <v>0</v>
      </c>
      <c r="R165" s="2">
        <f t="shared" si="6"/>
        <v>0</v>
      </c>
    </row>
    <row r="166" spans="9:18" ht="15" customHeight="1" x14ac:dyDescent="0.25">
      <c r="I166" s="2">
        <f t="shared" si="7"/>
        <v>0</v>
      </c>
      <c r="R166" s="2">
        <f t="shared" si="6"/>
        <v>0</v>
      </c>
    </row>
    <row r="167" spans="9:18" ht="15" customHeight="1" x14ac:dyDescent="0.25">
      <c r="I167" s="2">
        <f t="shared" si="7"/>
        <v>0</v>
      </c>
      <c r="R167" s="2">
        <f t="shared" si="6"/>
        <v>0</v>
      </c>
    </row>
    <row r="168" spans="9:18" ht="15" customHeight="1" x14ac:dyDescent="0.25">
      <c r="I168" s="2">
        <f t="shared" si="7"/>
        <v>0</v>
      </c>
      <c r="R168" s="2">
        <f t="shared" si="6"/>
        <v>0</v>
      </c>
    </row>
    <row r="169" spans="9:18" ht="15" customHeight="1" x14ac:dyDescent="0.25">
      <c r="I169" s="2">
        <f t="shared" si="7"/>
        <v>0</v>
      </c>
      <c r="R169" s="2">
        <f t="shared" si="6"/>
        <v>0</v>
      </c>
    </row>
    <row r="170" spans="9:18" ht="15" customHeight="1" x14ac:dyDescent="0.25">
      <c r="I170" s="2">
        <f t="shared" si="7"/>
        <v>0</v>
      </c>
      <c r="R170" s="2">
        <f t="shared" si="6"/>
        <v>0</v>
      </c>
    </row>
    <row r="171" spans="9:18" ht="15" customHeight="1" x14ac:dyDescent="0.25">
      <c r="I171" s="2">
        <f t="shared" si="7"/>
        <v>0</v>
      </c>
      <c r="R171" s="2">
        <f t="shared" si="6"/>
        <v>0</v>
      </c>
    </row>
    <row r="172" spans="9:18" ht="15" customHeight="1" x14ac:dyDescent="0.25">
      <c r="I172" s="2">
        <f t="shared" si="7"/>
        <v>0</v>
      </c>
      <c r="R172" s="2">
        <f t="shared" si="6"/>
        <v>0</v>
      </c>
    </row>
    <row r="173" spans="9:18" ht="15" customHeight="1" x14ac:dyDescent="0.25">
      <c r="I173" s="2">
        <f t="shared" si="7"/>
        <v>0</v>
      </c>
      <c r="R173" s="2">
        <f t="shared" si="6"/>
        <v>0</v>
      </c>
    </row>
    <row r="174" spans="9:18" ht="15" customHeight="1" x14ac:dyDescent="0.25">
      <c r="I174" s="2">
        <f t="shared" si="7"/>
        <v>0</v>
      </c>
      <c r="R174" s="2">
        <f t="shared" si="6"/>
        <v>0</v>
      </c>
    </row>
    <row r="175" spans="9:18" ht="15" customHeight="1" x14ac:dyDescent="0.25">
      <c r="I175" s="2">
        <f t="shared" si="7"/>
        <v>0</v>
      </c>
      <c r="R175" s="2">
        <f t="shared" si="6"/>
        <v>0</v>
      </c>
    </row>
    <row r="176" spans="9:18" ht="15" customHeight="1" x14ac:dyDescent="0.25">
      <c r="I176" s="2">
        <f t="shared" si="7"/>
        <v>0</v>
      </c>
      <c r="R176" s="2">
        <f t="shared" si="6"/>
        <v>0</v>
      </c>
    </row>
    <row r="177" spans="1:18" ht="15" customHeight="1" x14ac:dyDescent="0.25">
      <c r="I177" s="2">
        <f t="shared" si="7"/>
        <v>0</v>
      </c>
      <c r="R177" s="2">
        <f t="shared" si="6"/>
        <v>0</v>
      </c>
    </row>
    <row r="178" spans="1:18" ht="15" customHeight="1" x14ac:dyDescent="0.25">
      <c r="I178" s="2">
        <f t="shared" si="7"/>
        <v>0</v>
      </c>
      <c r="R178" s="2">
        <f t="shared" si="6"/>
        <v>0</v>
      </c>
    </row>
    <row r="179" spans="1:18" ht="15" customHeight="1" x14ac:dyDescent="0.25">
      <c r="I179" s="2">
        <f t="shared" si="7"/>
        <v>0</v>
      </c>
      <c r="R179" s="2">
        <f t="shared" si="6"/>
        <v>0</v>
      </c>
    </row>
    <row r="180" spans="1:18" ht="15" customHeight="1" x14ac:dyDescent="0.25">
      <c r="A180" s="13">
        <f>A2</f>
        <v>0</v>
      </c>
      <c r="B180" s="13">
        <f>B123</f>
        <v>0</v>
      </c>
      <c r="E180" s="3" t="s">
        <v>28</v>
      </c>
      <c r="F180" s="3">
        <f>SUM(F2:F179)</f>
        <v>0</v>
      </c>
      <c r="G180" s="3">
        <f>SUM(G2:G179)</f>
        <v>0</v>
      </c>
      <c r="H180" s="3" t="s">
        <v>16</v>
      </c>
      <c r="I180" s="3">
        <f>F180-G180</f>
        <v>0</v>
      </c>
      <c r="L180" s="13">
        <f>A180</f>
        <v>0</v>
      </c>
      <c r="M180" s="3" t="s">
        <v>28</v>
      </c>
      <c r="N180" s="3">
        <f>SUM(N2:N179)</f>
        <v>0</v>
      </c>
      <c r="O180" s="3">
        <f t="shared" ref="O180:P180" si="8">SUM(O2:O179)</f>
        <v>0</v>
      </c>
      <c r="P180" s="3">
        <f t="shared" si="8"/>
        <v>0</v>
      </c>
      <c r="Q180" s="3">
        <f>SUM(Q2:Q179)</f>
        <v>0</v>
      </c>
      <c r="R180" s="3">
        <f>SUM(R2:R179)</f>
        <v>0</v>
      </c>
    </row>
    <row r="187" spans="1:18" ht="15" customHeight="1" x14ac:dyDescent="0.25">
      <c r="I187" s="2"/>
    </row>
    <row r="188" spans="1:18" ht="15" customHeight="1" x14ac:dyDescent="0.25">
      <c r="I188" s="2"/>
    </row>
    <row r="189" spans="1:18" ht="15" customHeight="1" x14ac:dyDescent="0.25">
      <c r="I189" s="2"/>
    </row>
    <row r="190" spans="1:18" ht="15" customHeight="1" x14ac:dyDescent="0.25">
      <c r="I190" s="2"/>
    </row>
    <row r="191" spans="1:18" ht="15" customHeight="1" x14ac:dyDescent="0.25">
      <c r="I191" s="2"/>
    </row>
    <row r="192" spans="1:18" ht="15" customHeight="1" x14ac:dyDescent="0.25">
      <c r="I192" s="2"/>
    </row>
    <row r="193" spans="9:9" ht="15" customHeight="1" x14ac:dyDescent="0.25">
      <c r="I193" s="2"/>
    </row>
    <row r="194" spans="9:9" ht="15" customHeight="1" x14ac:dyDescent="0.25">
      <c r="I194" s="2"/>
    </row>
    <row r="195" spans="9:9" ht="15" customHeight="1" x14ac:dyDescent="0.25">
      <c r="I195" s="2"/>
    </row>
    <row r="196" spans="9:9" ht="15" customHeight="1" x14ac:dyDescent="0.25">
      <c r="I196" s="2"/>
    </row>
    <row r="197" spans="9:9" ht="15" customHeight="1" x14ac:dyDescent="0.25">
      <c r="I197" s="2"/>
    </row>
    <row r="198" spans="9:9" ht="15" customHeight="1" x14ac:dyDescent="0.25">
      <c r="I198" s="2"/>
    </row>
    <row r="199" spans="9:9" ht="15" customHeight="1" x14ac:dyDescent="0.25">
      <c r="I199" s="2"/>
    </row>
    <row r="200" spans="9:9" ht="15" customHeight="1" x14ac:dyDescent="0.25">
      <c r="I200" s="2"/>
    </row>
    <row r="201" spans="9:9" ht="15" customHeight="1" x14ac:dyDescent="0.25">
      <c r="I201" s="2"/>
    </row>
    <row r="202" spans="9:9" ht="15" customHeight="1" x14ac:dyDescent="0.25">
      <c r="I202" s="2"/>
    </row>
    <row r="203" spans="9:9" ht="15" customHeight="1" x14ac:dyDescent="0.25">
      <c r="I203" s="2"/>
    </row>
    <row r="204" spans="9:9" ht="15" customHeight="1" x14ac:dyDescent="0.25">
      <c r="I204" s="2"/>
    </row>
    <row r="205" spans="9:9" ht="15" customHeight="1" x14ac:dyDescent="0.25">
      <c r="I205" s="2"/>
    </row>
    <row r="206" spans="9:9" ht="15" customHeight="1" x14ac:dyDescent="0.25">
      <c r="I206" s="2"/>
    </row>
    <row r="207" spans="9:9" ht="15" customHeight="1" x14ac:dyDescent="0.25">
      <c r="I207" s="2"/>
    </row>
    <row r="208" spans="9:9" ht="15" customHeight="1" x14ac:dyDescent="0.25">
      <c r="I208" s="2"/>
    </row>
    <row r="209" spans="9:9" ht="15" customHeight="1" x14ac:dyDescent="0.25">
      <c r="I209" s="2"/>
    </row>
    <row r="210" spans="9:9" ht="15" customHeight="1" x14ac:dyDescent="0.25">
      <c r="I210" s="2"/>
    </row>
    <row r="211" spans="9:9" ht="15" customHeight="1" x14ac:dyDescent="0.25">
      <c r="I211" s="2"/>
    </row>
    <row r="212" spans="9:9" ht="15" customHeight="1" x14ac:dyDescent="0.25">
      <c r="I212" s="2"/>
    </row>
    <row r="213" spans="9:9" ht="15" customHeight="1" x14ac:dyDescent="0.25">
      <c r="I213" s="2"/>
    </row>
    <row r="214" spans="9:9" ht="15" customHeight="1" x14ac:dyDescent="0.25">
      <c r="I214" s="2"/>
    </row>
    <row r="215" spans="9:9" ht="15" customHeight="1" x14ac:dyDescent="0.25">
      <c r="I215" s="2"/>
    </row>
    <row r="216" spans="9:9" ht="15" customHeight="1" x14ac:dyDescent="0.25">
      <c r="I216" s="2"/>
    </row>
    <row r="217" spans="9:9" ht="15" customHeight="1" x14ac:dyDescent="0.25">
      <c r="I217" s="2"/>
    </row>
    <row r="218" spans="9:9" ht="15" customHeight="1" x14ac:dyDescent="0.25">
      <c r="I218" s="2"/>
    </row>
    <row r="219" spans="9:9" ht="15" customHeight="1" x14ac:dyDescent="0.25">
      <c r="I219" s="2"/>
    </row>
    <row r="220" spans="9:9" ht="15" customHeight="1" x14ac:dyDescent="0.25">
      <c r="I220" s="2"/>
    </row>
    <row r="221" spans="9:9" ht="15" customHeight="1" x14ac:dyDescent="0.25">
      <c r="I221" s="2"/>
    </row>
    <row r="222" spans="9:9" ht="15" customHeight="1" x14ac:dyDescent="0.25">
      <c r="I222" s="2"/>
    </row>
    <row r="223" spans="9:9" ht="15" customHeight="1" x14ac:dyDescent="0.25">
      <c r="I223" s="2"/>
    </row>
    <row r="224" spans="9:9" ht="15" customHeight="1" x14ac:dyDescent="0.25">
      <c r="I224" s="2"/>
    </row>
    <row r="225" spans="9:9" ht="15" customHeight="1" x14ac:dyDescent="0.25">
      <c r="I225" s="2"/>
    </row>
    <row r="226" spans="9:9" ht="15" customHeight="1" x14ac:dyDescent="0.25">
      <c r="I226" s="2"/>
    </row>
    <row r="227" spans="9:9" ht="15" customHeight="1" x14ac:dyDescent="0.25">
      <c r="I227" s="2"/>
    </row>
    <row r="228" spans="9:9" ht="15" customHeight="1" x14ac:dyDescent="0.25">
      <c r="I228" s="2"/>
    </row>
    <row r="229" spans="9:9" ht="15" customHeight="1" x14ac:dyDescent="0.25">
      <c r="I229" s="2"/>
    </row>
    <row r="230" spans="9:9" ht="15" customHeight="1" x14ac:dyDescent="0.25">
      <c r="I230" s="2"/>
    </row>
    <row r="231" spans="9:9" ht="15" customHeight="1" x14ac:dyDescent="0.25">
      <c r="I231" s="2"/>
    </row>
    <row r="232" spans="9:9" ht="15" customHeight="1" x14ac:dyDescent="0.25">
      <c r="I23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7930D-29FF-4ED5-91B6-2DE1FF2AC63C}">
  <dimension ref="A1:J55"/>
  <sheetViews>
    <sheetView tabSelected="1" zoomScaleNormal="100" workbookViewId="0">
      <selection sqref="A1:A3"/>
    </sheetView>
  </sheetViews>
  <sheetFormatPr baseColWidth="10" defaultRowHeight="12" x14ac:dyDescent="0.25"/>
  <cols>
    <col min="1" max="1" width="75.7109375" style="256" customWidth="1"/>
    <col min="2" max="10" width="15.7109375" style="256" customWidth="1"/>
    <col min="11" max="256" width="11.42578125" style="256"/>
    <col min="257" max="257" width="51" style="256" customWidth="1"/>
    <col min="258" max="261" width="6.5703125" style="256" customWidth="1"/>
    <col min="262" max="264" width="10.5703125" style="256" customWidth="1"/>
    <col min="265" max="265" width="19.42578125" style="256" customWidth="1"/>
    <col min="266" max="266" width="7.42578125" style="256" customWidth="1"/>
    <col min="267" max="512" width="11.42578125" style="256"/>
    <col min="513" max="513" width="51" style="256" customWidth="1"/>
    <col min="514" max="517" width="6.5703125" style="256" customWidth="1"/>
    <col min="518" max="520" width="10.5703125" style="256" customWidth="1"/>
    <col min="521" max="521" width="19.42578125" style="256" customWidth="1"/>
    <col min="522" max="522" width="7.42578125" style="256" customWidth="1"/>
    <col min="523" max="768" width="11.42578125" style="256"/>
    <col min="769" max="769" width="51" style="256" customWidth="1"/>
    <col min="770" max="773" width="6.5703125" style="256" customWidth="1"/>
    <col min="774" max="776" width="10.5703125" style="256" customWidth="1"/>
    <col min="777" max="777" width="19.42578125" style="256" customWidth="1"/>
    <col min="778" max="778" width="7.42578125" style="256" customWidth="1"/>
    <col min="779" max="1024" width="11.42578125" style="256"/>
    <col min="1025" max="1025" width="51" style="256" customWidth="1"/>
    <col min="1026" max="1029" width="6.5703125" style="256" customWidth="1"/>
    <col min="1030" max="1032" width="10.5703125" style="256" customWidth="1"/>
    <col min="1033" max="1033" width="19.42578125" style="256" customWidth="1"/>
    <col min="1034" max="1034" width="7.42578125" style="256" customWidth="1"/>
    <col min="1035" max="1280" width="11.42578125" style="256"/>
    <col min="1281" max="1281" width="51" style="256" customWidth="1"/>
    <col min="1282" max="1285" width="6.5703125" style="256" customWidth="1"/>
    <col min="1286" max="1288" width="10.5703125" style="256" customWidth="1"/>
    <col min="1289" max="1289" width="19.42578125" style="256" customWidth="1"/>
    <col min="1290" max="1290" width="7.42578125" style="256" customWidth="1"/>
    <col min="1291" max="1536" width="11.42578125" style="256"/>
    <col min="1537" max="1537" width="51" style="256" customWidth="1"/>
    <col min="1538" max="1541" width="6.5703125" style="256" customWidth="1"/>
    <col min="1542" max="1544" width="10.5703125" style="256" customWidth="1"/>
    <col min="1545" max="1545" width="19.42578125" style="256" customWidth="1"/>
    <col min="1546" max="1546" width="7.42578125" style="256" customWidth="1"/>
    <col min="1547" max="1792" width="11.42578125" style="256"/>
    <col min="1793" max="1793" width="51" style="256" customWidth="1"/>
    <col min="1794" max="1797" width="6.5703125" style="256" customWidth="1"/>
    <col min="1798" max="1800" width="10.5703125" style="256" customWidth="1"/>
    <col min="1801" max="1801" width="19.42578125" style="256" customWidth="1"/>
    <col min="1802" max="1802" width="7.42578125" style="256" customWidth="1"/>
    <col min="1803" max="2048" width="11.42578125" style="256"/>
    <col min="2049" max="2049" width="51" style="256" customWidth="1"/>
    <col min="2050" max="2053" width="6.5703125" style="256" customWidth="1"/>
    <col min="2054" max="2056" width="10.5703125" style="256" customWidth="1"/>
    <col min="2057" max="2057" width="19.42578125" style="256" customWidth="1"/>
    <col min="2058" max="2058" width="7.42578125" style="256" customWidth="1"/>
    <col min="2059" max="2304" width="11.42578125" style="256"/>
    <col min="2305" max="2305" width="51" style="256" customWidth="1"/>
    <col min="2306" max="2309" width="6.5703125" style="256" customWidth="1"/>
    <col min="2310" max="2312" width="10.5703125" style="256" customWidth="1"/>
    <col min="2313" max="2313" width="19.42578125" style="256" customWidth="1"/>
    <col min="2314" max="2314" width="7.42578125" style="256" customWidth="1"/>
    <col min="2315" max="2560" width="11.42578125" style="256"/>
    <col min="2561" max="2561" width="51" style="256" customWidth="1"/>
    <col min="2562" max="2565" width="6.5703125" style="256" customWidth="1"/>
    <col min="2566" max="2568" width="10.5703125" style="256" customWidth="1"/>
    <col min="2569" max="2569" width="19.42578125" style="256" customWidth="1"/>
    <col min="2570" max="2570" width="7.42578125" style="256" customWidth="1"/>
    <col min="2571" max="2816" width="11.42578125" style="256"/>
    <col min="2817" max="2817" width="51" style="256" customWidth="1"/>
    <col min="2818" max="2821" width="6.5703125" style="256" customWidth="1"/>
    <col min="2822" max="2824" width="10.5703125" style="256" customWidth="1"/>
    <col min="2825" max="2825" width="19.42578125" style="256" customWidth="1"/>
    <col min="2826" max="2826" width="7.42578125" style="256" customWidth="1"/>
    <col min="2827" max="3072" width="11.42578125" style="256"/>
    <col min="3073" max="3073" width="51" style="256" customWidth="1"/>
    <col min="3074" max="3077" width="6.5703125" style="256" customWidth="1"/>
    <col min="3078" max="3080" width="10.5703125" style="256" customWidth="1"/>
    <col min="3081" max="3081" width="19.42578125" style="256" customWidth="1"/>
    <col min="3082" max="3082" width="7.42578125" style="256" customWidth="1"/>
    <col min="3083" max="3328" width="11.42578125" style="256"/>
    <col min="3329" max="3329" width="51" style="256" customWidth="1"/>
    <col min="3330" max="3333" width="6.5703125" style="256" customWidth="1"/>
    <col min="3334" max="3336" width="10.5703125" style="256" customWidth="1"/>
    <col min="3337" max="3337" width="19.42578125" style="256" customWidth="1"/>
    <col min="3338" max="3338" width="7.42578125" style="256" customWidth="1"/>
    <col min="3339" max="3584" width="11.42578125" style="256"/>
    <col min="3585" max="3585" width="51" style="256" customWidth="1"/>
    <col min="3586" max="3589" width="6.5703125" style="256" customWidth="1"/>
    <col min="3590" max="3592" width="10.5703125" style="256" customWidth="1"/>
    <col min="3593" max="3593" width="19.42578125" style="256" customWidth="1"/>
    <col min="3594" max="3594" width="7.42578125" style="256" customWidth="1"/>
    <col min="3595" max="3840" width="11.42578125" style="256"/>
    <col min="3841" max="3841" width="51" style="256" customWidth="1"/>
    <col min="3842" max="3845" width="6.5703125" style="256" customWidth="1"/>
    <col min="3846" max="3848" width="10.5703125" style="256" customWidth="1"/>
    <col min="3849" max="3849" width="19.42578125" style="256" customWidth="1"/>
    <col min="3850" max="3850" width="7.42578125" style="256" customWidth="1"/>
    <col min="3851" max="4096" width="11.42578125" style="256"/>
    <col min="4097" max="4097" width="51" style="256" customWidth="1"/>
    <col min="4098" max="4101" width="6.5703125" style="256" customWidth="1"/>
    <col min="4102" max="4104" width="10.5703125" style="256" customWidth="1"/>
    <col min="4105" max="4105" width="19.42578125" style="256" customWidth="1"/>
    <col min="4106" max="4106" width="7.42578125" style="256" customWidth="1"/>
    <col min="4107" max="4352" width="11.42578125" style="256"/>
    <col min="4353" max="4353" width="51" style="256" customWidth="1"/>
    <col min="4354" max="4357" width="6.5703125" style="256" customWidth="1"/>
    <col min="4358" max="4360" width="10.5703125" style="256" customWidth="1"/>
    <col min="4361" max="4361" width="19.42578125" style="256" customWidth="1"/>
    <col min="4362" max="4362" width="7.42578125" style="256" customWidth="1"/>
    <col min="4363" max="4608" width="11.42578125" style="256"/>
    <col min="4609" max="4609" width="51" style="256" customWidth="1"/>
    <col min="4610" max="4613" width="6.5703125" style="256" customWidth="1"/>
    <col min="4614" max="4616" width="10.5703125" style="256" customWidth="1"/>
    <col min="4617" max="4617" width="19.42578125" style="256" customWidth="1"/>
    <col min="4618" max="4618" width="7.42578125" style="256" customWidth="1"/>
    <col min="4619" max="4864" width="11.42578125" style="256"/>
    <col min="4865" max="4865" width="51" style="256" customWidth="1"/>
    <col min="4866" max="4869" width="6.5703125" style="256" customWidth="1"/>
    <col min="4870" max="4872" width="10.5703125" style="256" customWidth="1"/>
    <col min="4873" max="4873" width="19.42578125" style="256" customWidth="1"/>
    <col min="4874" max="4874" width="7.42578125" style="256" customWidth="1"/>
    <col min="4875" max="5120" width="11.42578125" style="256"/>
    <col min="5121" max="5121" width="51" style="256" customWidth="1"/>
    <col min="5122" max="5125" width="6.5703125" style="256" customWidth="1"/>
    <col min="5126" max="5128" width="10.5703125" style="256" customWidth="1"/>
    <col min="5129" max="5129" width="19.42578125" style="256" customWidth="1"/>
    <col min="5130" max="5130" width="7.42578125" style="256" customWidth="1"/>
    <col min="5131" max="5376" width="11.42578125" style="256"/>
    <col min="5377" max="5377" width="51" style="256" customWidth="1"/>
    <col min="5378" max="5381" width="6.5703125" style="256" customWidth="1"/>
    <col min="5382" max="5384" width="10.5703125" style="256" customWidth="1"/>
    <col min="5385" max="5385" width="19.42578125" style="256" customWidth="1"/>
    <col min="5386" max="5386" width="7.42578125" style="256" customWidth="1"/>
    <col min="5387" max="5632" width="11.42578125" style="256"/>
    <col min="5633" max="5633" width="51" style="256" customWidth="1"/>
    <col min="5634" max="5637" width="6.5703125" style="256" customWidth="1"/>
    <col min="5638" max="5640" width="10.5703125" style="256" customWidth="1"/>
    <col min="5641" max="5641" width="19.42578125" style="256" customWidth="1"/>
    <col min="5642" max="5642" width="7.42578125" style="256" customWidth="1"/>
    <col min="5643" max="5888" width="11.42578125" style="256"/>
    <col min="5889" max="5889" width="51" style="256" customWidth="1"/>
    <col min="5890" max="5893" width="6.5703125" style="256" customWidth="1"/>
    <col min="5894" max="5896" width="10.5703125" style="256" customWidth="1"/>
    <col min="5897" max="5897" width="19.42578125" style="256" customWidth="1"/>
    <col min="5898" max="5898" width="7.42578125" style="256" customWidth="1"/>
    <col min="5899" max="6144" width="11.42578125" style="256"/>
    <col min="6145" max="6145" width="51" style="256" customWidth="1"/>
    <col min="6146" max="6149" width="6.5703125" style="256" customWidth="1"/>
    <col min="6150" max="6152" width="10.5703125" style="256" customWidth="1"/>
    <col min="6153" max="6153" width="19.42578125" style="256" customWidth="1"/>
    <col min="6154" max="6154" width="7.42578125" style="256" customWidth="1"/>
    <col min="6155" max="6400" width="11.42578125" style="256"/>
    <col min="6401" max="6401" width="51" style="256" customWidth="1"/>
    <col min="6402" max="6405" width="6.5703125" style="256" customWidth="1"/>
    <col min="6406" max="6408" width="10.5703125" style="256" customWidth="1"/>
    <col min="6409" max="6409" width="19.42578125" style="256" customWidth="1"/>
    <col min="6410" max="6410" width="7.42578125" style="256" customWidth="1"/>
    <col min="6411" max="6656" width="11.42578125" style="256"/>
    <col min="6657" max="6657" width="51" style="256" customWidth="1"/>
    <col min="6658" max="6661" width="6.5703125" style="256" customWidth="1"/>
    <col min="6662" max="6664" width="10.5703125" style="256" customWidth="1"/>
    <col min="6665" max="6665" width="19.42578125" style="256" customWidth="1"/>
    <col min="6666" max="6666" width="7.42578125" style="256" customWidth="1"/>
    <col min="6667" max="6912" width="11.42578125" style="256"/>
    <col min="6913" max="6913" width="51" style="256" customWidth="1"/>
    <col min="6914" max="6917" width="6.5703125" style="256" customWidth="1"/>
    <col min="6918" max="6920" width="10.5703125" style="256" customWidth="1"/>
    <col min="6921" max="6921" width="19.42578125" style="256" customWidth="1"/>
    <col min="6922" max="6922" width="7.42578125" style="256" customWidth="1"/>
    <col min="6923" max="7168" width="11.42578125" style="256"/>
    <col min="7169" max="7169" width="51" style="256" customWidth="1"/>
    <col min="7170" max="7173" width="6.5703125" style="256" customWidth="1"/>
    <col min="7174" max="7176" width="10.5703125" style="256" customWidth="1"/>
    <col min="7177" max="7177" width="19.42578125" style="256" customWidth="1"/>
    <col min="7178" max="7178" width="7.42578125" style="256" customWidth="1"/>
    <col min="7179" max="7424" width="11.42578125" style="256"/>
    <col min="7425" max="7425" width="51" style="256" customWidth="1"/>
    <col min="7426" max="7429" width="6.5703125" style="256" customWidth="1"/>
    <col min="7430" max="7432" width="10.5703125" style="256" customWidth="1"/>
    <col min="7433" max="7433" width="19.42578125" style="256" customWidth="1"/>
    <col min="7434" max="7434" width="7.42578125" style="256" customWidth="1"/>
    <col min="7435" max="7680" width="11.42578125" style="256"/>
    <col min="7681" max="7681" width="51" style="256" customWidth="1"/>
    <col min="7682" max="7685" width="6.5703125" style="256" customWidth="1"/>
    <col min="7686" max="7688" width="10.5703125" style="256" customWidth="1"/>
    <col min="7689" max="7689" width="19.42578125" style="256" customWidth="1"/>
    <col min="7690" max="7690" width="7.42578125" style="256" customWidth="1"/>
    <col min="7691" max="7936" width="11.42578125" style="256"/>
    <col min="7937" max="7937" width="51" style="256" customWidth="1"/>
    <col min="7938" max="7941" width="6.5703125" style="256" customWidth="1"/>
    <col min="7942" max="7944" width="10.5703125" style="256" customWidth="1"/>
    <col min="7945" max="7945" width="19.42578125" style="256" customWidth="1"/>
    <col min="7946" max="7946" width="7.42578125" style="256" customWidth="1"/>
    <col min="7947" max="8192" width="11.42578125" style="256"/>
    <col min="8193" max="8193" width="51" style="256" customWidth="1"/>
    <col min="8194" max="8197" width="6.5703125" style="256" customWidth="1"/>
    <col min="8198" max="8200" width="10.5703125" style="256" customWidth="1"/>
    <col min="8201" max="8201" width="19.42578125" style="256" customWidth="1"/>
    <col min="8202" max="8202" width="7.42578125" style="256" customWidth="1"/>
    <col min="8203" max="8448" width="11.42578125" style="256"/>
    <col min="8449" max="8449" width="51" style="256" customWidth="1"/>
    <col min="8450" max="8453" width="6.5703125" style="256" customWidth="1"/>
    <col min="8454" max="8456" width="10.5703125" style="256" customWidth="1"/>
    <col min="8457" max="8457" width="19.42578125" style="256" customWidth="1"/>
    <col min="8458" max="8458" width="7.42578125" style="256" customWidth="1"/>
    <col min="8459" max="8704" width="11.42578125" style="256"/>
    <col min="8705" max="8705" width="51" style="256" customWidth="1"/>
    <col min="8706" max="8709" width="6.5703125" style="256" customWidth="1"/>
    <col min="8710" max="8712" width="10.5703125" style="256" customWidth="1"/>
    <col min="8713" max="8713" width="19.42578125" style="256" customWidth="1"/>
    <col min="8714" max="8714" width="7.42578125" style="256" customWidth="1"/>
    <col min="8715" max="8960" width="11.42578125" style="256"/>
    <col min="8961" max="8961" width="51" style="256" customWidth="1"/>
    <col min="8962" max="8965" width="6.5703125" style="256" customWidth="1"/>
    <col min="8966" max="8968" width="10.5703125" style="256" customWidth="1"/>
    <col min="8969" max="8969" width="19.42578125" style="256" customWidth="1"/>
    <col min="8970" max="8970" width="7.42578125" style="256" customWidth="1"/>
    <col min="8971" max="9216" width="11.42578125" style="256"/>
    <col min="9217" max="9217" width="51" style="256" customWidth="1"/>
    <col min="9218" max="9221" width="6.5703125" style="256" customWidth="1"/>
    <col min="9222" max="9224" width="10.5703125" style="256" customWidth="1"/>
    <col min="9225" max="9225" width="19.42578125" style="256" customWidth="1"/>
    <col min="9226" max="9226" width="7.42578125" style="256" customWidth="1"/>
    <col min="9227" max="9472" width="11.42578125" style="256"/>
    <col min="9473" max="9473" width="51" style="256" customWidth="1"/>
    <col min="9474" max="9477" width="6.5703125" style="256" customWidth="1"/>
    <col min="9478" max="9480" width="10.5703125" style="256" customWidth="1"/>
    <col min="9481" max="9481" width="19.42578125" style="256" customWidth="1"/>
    <col min="9482" max="9482" width="7.42578125" style="256" customWidth="1"/>
    <col min="9483" max="9728" width="11.42578125" style="256"/>
    <col min="9729" max="9729" width="51" style="256" customWidth="1"/>
    <col min="9730" max="9733" width="6.5703125" style="256" customWidth="1"/>
    <col min="9734" max="9736" width="10.5703125" style="256" customWidth="1"/>
    <col min="9737" max="9737" width="19.42578125" style="256" customWidth="1"/>
    <col min="9738" max="9738" width="7.42578125" style="256" customWidth="1"/>
    <col min="9739" max="9984" width="11.42578125" style="256"/>
    <col min="9985" max="9985" width="51" style="256" customWidth="1"/>
    <col min="9986" max="9989" width="6.5703125" style="256" customWidth="1"/>
    <col min="9990" max="9992" width="10.5703125" style="256" customWidth="1"/>
    <col min="9993" max="9993" width="19.42578125" style="256" customWidth="1"/>
    <col min="9994" max="9994" width="7.42578125" style="256" customWidth="1"/>
    <col min="9995" max="10240" width="11.42578125" style="256"/>
    <col min="10241" max="10241" width="51" style="256" customWidth="1"/>
    <col min="10242" max="10245" width="6.5703125" style="256" customWidth="1"/>
    <col min="10246" max="10248" width="10.5703125" style="256" customWidth="1"/>
    <col min="10249" max="10249" width="19.42578125" style="256" customWidth="1"/>
    <col min="10250" max="10250" width="7.42578125" style="256" customWidth="1"/>
    <col min="10251" max="10496" width="11.42578125" style="256"/>
    <col min="10497" max="10497" width="51" style="256" customWidth="1"/>
    <col min="10498" max="10501" width="6.5703125" style="256" customWidth="1"/>
    <col min="10502" max="10504" width="10.5703125" style="256" customWidth="1"/>
    <col min="10505" max="10505" width="19.42578125" style="256" customWidth="1"/>
    <col min="10506" max="10506" width="7.42578125" style="256" customWidth="1"/>
    <col min="10507" max="10752" width="11.42578125" style="256"/>
    <col min="10753" max="10753" width="51" style="256" customWidth="1"/>
    <col min="10754" max="10757" width="6.5703125" style="256" customWidth="1"/>
    <col min="10758" max="10760" width="10.5703125" style="256" customWidth="1"/>
    <col min="10761" max="10761" width="19.42578125" style="256" customWidth="1"/>
    <col min="10762" max="10762" width="7.42578125" style="256" customWidth="1"/>
    <col min="10763" max="11008" width="11.42578125" style="256"/>
    <col min="11009" max="11009" width="51" style="256" customWidth="1"/>
    <col min="11010" max="11013" width="6.5703125" style="256" customWidth="1"/>
    <col min="11014" max="11016" width="10.5703125" style="256" customWidth="1"/>
    <col min="11017" max="11017" width="19.42578125" style="256" customWidth="1"/>
    <col min="11018" max="11018" width="7.42578125" style="256" customWidth="1"/>
    <col min="11019" max="11264" width="11.42578125" style="256"/>
    <col min="11265" max="11265" width="51" style="256" customWidth="1"/>
    <col min="11266" max="11269" width="6.5703125" style="256" customWidth="1"/>
    <col min="11270" max="11272" width="10.5703125" style="256" customWidth="1"/>
    <col min="11273" max="11273" width="19.42578125" style="256" customWidth="1"/>
    <col min="11274" max="11274" width="7.42578125" style="256" customWidth="1"/>
    <col min="11275" max="11520" width="11.42578125" style="256"/>
    <col min="11521" max="11521" width="51" style="256" customWidth="1"/>
    <col min="11522" max="11525" width="6.5703125" style="256" customWidth="1"/>
    <col min="11526" max="11528" width="10.5703125" style="256" customWidth="1"/>
    <col min="11529" max="11529" width="19.42578125" style="256" customWidth="1"/>
    <col min="11530" max="11530" width="7.42578125" style="256" customWidth="1"/>
    <col min="11531" max="11776" width="11.42578125" style="256"/>
    <col min="11777" max="11777" width="51" style="256" customWidth="1"/>
    <col min="11778" max="11781" width="6.5703125" style="256" customWidth="1"/>
    <col min="11782" max="11784" width="10.5703125" style="256" customWidth="1"/>
    <col min="11785" max="11785" width="19.42578125" style="256" customWidth="1"/>
    <col min="11786" max="11786" width="7.42578125" style="256" customWidth="1"/>
    <col min="11787" max="12032" width="11.42578125" style="256"/>
    <col min="12033" max="12033" width="51" style="256" customWidth="1"/>
    <col min="12034" max="12037" width="6.5703125" style="256" customWidth="1"/>
    <col min="12038" max="12040" width="10.5703125" style="256" customWidth="1"/>
    <col min="12041" max="12041" width="19.42578125" style="256" customWidth="1"/>
    <col min="12042" max="12042" width="7.42578125" style="256" customWidth="1"/>
    <col min="12043" max="12288" width="11.42578125" style="256"/>
    <col min="12289" max="12289" width="51" style="256" customWidth="1"/>
    <col min="12290" max="12293" width="6.5703125" style="256" customWidth="1"/>
    <col min="12294" max="12296" width="10.5703125" style="256" customWidth="1"/>
    <col min="12297" max="12297" width="19.42578125" style="256" customWidth="1"/>
    <col min="12298" max="12298" width="7.42578125" style="256" customWidth="1"/>
    <col min="12299" max="12544" width="11.42578125" style="256"/>
    <col min="12545" max="12545" width="51" style="256" customWidth="1"/>
    <col min="12546" max="12549" width="6.5703125" style="256" customWidth="1"/>
    <col min="12550" max="12552" width="10.5703125" style="256" customWidth="1"/>
    <col min="12553" max="12553" width="19.42578125" style="256" customWidth="1"/>
    <col min="12554" max="12554" width="7.42578125" style="256" customWidth="1"/>
    <col min="12555" max="12800" width="11.42578125" style="256"/>
    <col min="12801" max="12801" width="51" style="256" customWidth="1"/>
    <col min="12802" max="12805" width="6.5703125" style="256" customWidth="1"/>
    <col min="12806" max="12808" width="10.5703125" style="256" customWidth="1"/>
    <col min="12809" max="12809" width="19.42578125" style="256" customWidth="1"/>
    <col min="12810" max="12810" width="7.42578125" style="256" customWidth="1"/>
    <col min="12811" max="13056" width="11.42578125" style="256"/>
    <col min="13057" max="13057" width="51" style="256" customWidth="1"/>
    <col min="13058" max="13061" width="6.5703125" style="256" customWidth="1"/>
    <col min="13062" max="13064" width="10.5703125" style="256" customWidth="1"/>
    <col min="13065" max="13065" width="19.42578125" style="256" customWidth="1"/>
    <col min="13066" max="13066" width="7.42578125" style="256" customWidth="1"/>
    <col min="13067" max="13312" width="11.42578125" style="256"/>
    <col min="13313" max="13313" width="51" style="256" customWidth="1"/>
    <col min="13314" max="13317" width="6.5703125" style="256" customWidth="1"/>
    <col min="13318" max="13320" width="10.5703125" style="256" customWidth="1"/>
    <col min="13321" max="13321" width="19.42578125" style="256" customWidth="1"/>
    <col min="13322" max="13322" width="7.42578125" style="256" customWidth="1"/>
    <col min="13323" max="13568" width="11.42578125" style="256"/>
    <col min="13569" max="13569" width="51" style="256" customWidth="1"/>
    <col min="13570" max="13573" width="6.5703125" style="256" customWidth="1"/>
    <col min="13574" max="13576" width="10.5703125" style="256" customWidth="1"/>
    <col min="13577" max="13577" width="19.42578125" style="256" customWidth="1"/>
    <col min="13578" max="13578" width="7.42578125" style="256" customWidth="1"/>
    <col min="13579" max="13824" width="11.42578125" style="256"/>
    <col min="13825" max="13825" width="51" style="256" customWidth="1"/>
    <col min="13826" max="13829" width="6.5703125" style="256" customWidth="1"/>
    <col min="13830" max="13832" width="10.5703125" style="256" customWidth="1"/>
    <col min="13833" max="13833" width="19.42578125" style="256" customWidth="1"/>
    <col min="13834" max="13834" width="7.42578125" style="256" customWidth="1"/>
    <col min="13835" max="14080" width="11.42578125" style="256"/>
    <col min="14081" max="14081" width="51" style="256" customWidth="1"/>
    <col min="14082" max="14085" width="6.5703125" style="256" customWidth="1"/>
    <col min="14086" max="14088" width="10.5703125" style="256" customWidth="1"/>
    <col min="14089" max="14089" width="19.42578125" style="256" customWidth="1"/>
    <col min="14090" max="14090" width="7.42578125" style="256" customWidth="1"/>
    <col min="14091" max="14336" width="11.42578125" style="256"/>
    <col min="14337" max="14337" width="51" style="256" customWidth="1"/>
    <col min="14338" max="14341" width="6.5703125" style="256" customWidth="1"/>
    <col min="14342" max="14344" width="10.5703125" style="256" customWidth="1"/>
    <col min="14345" max="14345" width="19.42578125" style="256" customWidth="1"/>
    <col min="14346" max="14346" width="7.42578125" style="256" customWidth="1"/>
    <col min="14347" max="14592" width="11.42578125" style="256"/>
    <col min="14593" max="14593" width="51" style="256" customWidth="1"/>
    <col min="14594" max="14597" width="6.5703125" style="256" customWidth="1"/>
    <col min="14598" max="14600" width="10.5703125" style="256" customWidth="1"/>
    <col min="14601" max="14601" width="19.42578125" style="256" customWidth="1"/>
    <col min="14602" max="14602" width="7.42578125" style="256" customWidth="1"/>
    <col min="14603" max="14848" width="11.42578125" style="256"/>
    <col min="14849" max="14849" width="51" style="256" customWidth="1"/>
    <col min="14850" max="14853" width="6.5703125" style="256" customWidth="1"/>
    <col min="14854" max="14856" width="10.5703125" style="256" customWidth="1"/>
    <col min="14857" max="14857" width="19.42578125" style="256" customWidth="1"/>
    <col min="14858" max="14858" width="7.42578125" style="256" customWidth="1"/>
    <col min="14859" max="15104" width="11.42578125" style="256"/>
    <col min="15105" max="15105" width="51" style="256" customWidth="1"/>
    <col min="15106" max="15109" width="6.5703125" style="256" customWidth="1"/>
    <col min="15110" max="15112" width="10.5703125" style="256" customWidth="1"/>
    <col min="15113" max="15113" width="19.42578125" style="256" customWidth="1"/>
    <col min="15114" max="15114" width="7.42578125" style="256" customWidth="1"/>
    <col min="15115" max="15360" width="11.42578125" style="256"/>
    <col min="15361" max="15361" width="51" style="256" customWidth="1"/>
    <col min="15362" max="15365" width="6.5703125" style="256" customWidth="1"/>
    <col min="15366" max="15368" width="10.5703125" style="256" customWidth="1"/>
    <col min="15369" max="15369" width="19.42578125" style="256" customWidth="1"/>
    <col min="15370" max="15370" width="7.42578125" style="256" customWidth="1"/>
    <col min="15371" max="15616" width="11.42578125" style="256"/>
    <col min="15617" max="15617" width="51" style="256" customWidth="1"/>
    <col min="15618" max="15621" width="6.5703125" style="256" customWidth="1"/>
    <col min="15622" max="15624" width="10.5703125" style="256" customWidth="1"/>
    <col min="15625" max="15625" width="19.42578125" style="256" customWidth="1"/>
    <col min="15626" max="15626" width="7.42578125" style="256" customWidth="1"/>
    <col min="15627" max="15872" width="11.42578125" style="256"/>
    <col min="15873" max="15873" width="51" style="256" customWidth="1"/>
    <col min="15874" max="15877" width="6.5703125" style="256" customWidth="1"/>
    <col min="15878" max="15880" width="10.5703125" style="256" customWidth="1"/>
    <col min="15881" max="15881" width="19.42578125" style="256" customWidth="1"/>
    <col min="15882" max="15882" width="7.42578125" style="256" customWidth="1"/>
    <col min="15883" max="16128" width="11.42578125" style="256"/>
    <col min="16129" max="16129" width="51" style="256" customWidth="1"/>
    <col min="16130" max="16133" width="6.5703125" style="256" customWidth="1"/>
    <col min="16134" max="16136" width="10.5703125" style="256" customWidth="1"/>
    <col min="16137" max="16137" width="19.42578125" style="256" customWidth="1"/>
    <col min="16138" max="16138" width="7.42578125" style="256" customWidth="1"/>
    <col min="16139" max="16384" width="11.42578125" style="256"/>
  </cols>
  <sheetData>
    <row r="1" spans="1:10" s="244" customFormat="1" ht="20.100000000000001" customHeight="1" x14ac:dyDescent="0.25">
      <c r="A1" s="342" t="s">
        <v>403</v>
      </c>
      <c r="B1" s="345" t="s">
        <v>404</v>
      </c>
      <c r="C1" s="345"/>
      <c r="D1" s="345"/>
      <c r="E1" s="345"/>
      <c r="F1" s="345"/>
      <c r="G1" s="345"/>
      <c r="H1" s="345"/>
      <c r="I1" s="345"/>
      <c r="J1" s="346"/>
    </row>
    <row r="2" spans="1:10" s="244" customFormat="1" ht="20.100000000000001" customHeight="1" x14ac:dyDescent="0.25">
      <c r="A2" s="343"/>
      <c r="B2" s="347" t="s">
        <v>455</v>
      </c>
      <c r="C2" s="347"/>
      <c r="D2" s="347"/>
      <c r="E2" s="348"/>
      <c r="F2" s="351" t="s">
        <v>456</v>
      </c>
      <c r="G2" s="347"/>
      <c r="H2" s="348"/>
      <c r="I2" s="348" t="s">
        <v>457</v>
      </c>
      <c r="J2" s="342" t="s">
        <v>405</v>
      </c>
    </row>
    <row r="3" spans="1:10" s="244" customFormat="1" ht="20.100000000000001" customHeight="1" x14ac:dyDescent="0.25">
      <c r="A3" s="344"/>
      <c r="B3" s="349"/>
      <c r="C3" s="349"/>
      <c r="D3" s="349"/>
      <c r="E3" s="350"/>
      <c r="F3" s="352"/>
      <c r="G3" s="349"/>
      <c r="H3" s="350"/>
      <c r="I3" s="350"/>
      <c r="J3" s="344"/>
    </row>
    <row r="4" spans="1:10" s="244" customFormat="1" ht="20.100000000000001" customHeight="1" x14ac:dyDescent="0.25">
      <c r="A4" s="277"/>
      <c r="B4" s="289" t="s">
        <v>393</v>
      </c>
      <c r="C4" s="278" t="s">
        <v>394</v>
      </c>
      <c r="D4" s="278" t="s">
        <v>395</v>
      </c>
      <c r="E4" s="276" t="s">
        <v>458</v>
      </c>
      <c r="F4" s="279" t="s">
        <v>406</v>
      </c>
      <c r="G4" s="278" t="s">
        <v>407</v>
      </c>
      <c r="H4" s="276" t="s">
        <v>458</v>
      </c>
      <c r="I4" s="280" t="s">
        <v>459</v>
      </c>
      <c r="J4" s="277"/>
    </row>
    <row r="5" spans="1:10" s="245" customFormat="1" ht="20.100000000000001" customHeight="1" x14ac:dyDescent="0.25">
      <c r="A5" s="300" t="s">
        <v>408</v>
      </c>
      <c r="B5" s="301">
        <f>SUM(B6:B9)</f>
        <v>0</v>
      </c>
      <c r="C5" s="302">
        <f t="shared" ref="C5:I5" si="0">SUM(C6:C9)</f>
        <v>0</v>
      </c>
      <c r="D5" s="302">
        <f t="shared" si="0"/>
        <v>0</v>
      </c>
      <c r="E5" s="303">
        <f t="shared" si="0"/>
        <v>0</v>
      </c>
      <c r="F5" s="304">
        <f t="shared" si="0"/>
        <v>0</v>
      </c>
      <c r="G5" s="302">
        <f t="shared" si="0"/>
        <v>0</v>
      </c>
      <c r="H5" s="303">
        <f t="shared" si="0"/>
        <v>0</v>
      </c>
      <c r="I5" s="303">
        <f t="shared" si="0"/>
        <v>0</v>
      </c>
      <c r="J5" s="333">
        <f>SUM(J6:J9)</f>
        <v>0</v>
      </c>
    </row>
    <row r="6" spans="1:10" s="245" customFormat="1" ht="20.100000000000001" customHeight="1" x14ac:dyDescent="0.25">
      <c r="A6" s="291" t="s">
        <v>409</v>
      </c>
      <c r="B6" s="270"/>
      <c r="C6" s="264"/>
      <c r="D6" s="264"/>
      <c r="E6" s="265"/>
      <c r="F6" s="266"/>
      <c r="G6" s="264"/>
      <c r="H6" s="265"/>
      <c r="I6" s="265"/>
      <c r="J6" s="334">
        <f>SUM(B6:I6)</f>
        <v>0</v>
      </c>
    </row>
    <row r="7" spans="1:10" s="245" customFormat="1" ht="20.100000000000001" customHeight="1" x14ac:dyDescent="0.25">
      <c r="A7" s="291" t="s">
        <v>410</v>
      </c>
      <c r="B7" s="270"/>
      <c r="C7" s="264"/>
      <c r="D7" s="264"/>
      <c r="E7" s="265"/>
      <c r="F7" s="266"/>
      <c r="G7" s="264"/>
      <c r="H7" s="265"/>
      <c r="I7" s="265"/>
      <c r="J7" s="334">
        <f>SUM(B7:I7)</f>
        <v>0</v>
      </c>
    </row>
    <row r="8" spans="1:10" s="245" customFormat="1" ht="20.100000000000001" customHeight="1" x14ac:dyDescent="0.25">
      <c r="A8" s="292" t="s">
        <v>449</v>
      </c>
      <c r="B8" s="270"/>
      <c r="C8" s="264"/>
      <c r="D8" s="264"/>
      <c r="E8" s="265"/>
      <c r="F8" s="266"/>
      <c r="G8" s="264"/>
      <c r="H8" s="265"/>
      <c r="I8" s="265"/>
      <c r="J8" s="334">
        <f>SUM(B8:I8)</f>
        <v>0</v>
      </c>
    </row>
    <row r="9" spans="1:10" s="245" customFormat="1" ht="20.100000000000001" customHeight="1" x14ac:dyDescent="0.25">
      <c r="A9" s="293" t="s">
        <v>451</v>
      </c>
      <c r="B9" s="272"/>
      <c r="C9" s="267"/>
      <c r="D9" s="267"/>
      <c r="E9" s="268"/>
      <c r="F9" s="269"/>
      <c r="G9" s="267"/>
      <c r="H9" s="268"/>
      <c r="I9" s="268"/>
      <c r="J9" s="334">
        <f>SUM(B9:I9)</f>
        <v>0</v>
      </c>
    </row>
    <row r="10" spans="1:10" s="245" customFormat="1" ht="20.100000000000001" customHeight="1" x14ac:dyDescent="0.25">
      <c r="A10" s="300" t="s">
        <v>411</v>
      </c>
      <c r="B10" s="301">
        <f t="shared" ref="B10:I10" si="1">SUM(B11+B15)</f>
        <v>0</v>
      </c>
      <c r="C10" s="302">
        <f t="shared" si="1"/>
        <v>0</v>
      </c>
      <c r="D10" s="301">
        <f t="shared" si="1"/>
        <v>0</v>
      </c>
      <c r="E10" s="303">
        <f t="shared" si="1"/>
        <v>0</v>
      </c>
      <c r="F10" s="305">
        <f t="shared" si="1"/>
        <v>0</v>
      </c>
      <c r="G10" s="302">
        <f t="shared" si="1"/>
        <v>0</v>
      </c>
      <c r="H10" s="303">
        <f t="shared" si="1"/>
        <v>0</v>
      </c>
      <c r="I10" s="303">
        <f t="shared" si="1"/>
        <v>0</v>
      </c>
      <c r="J10" s="333">
        <f>SUM(J11+J15)</f>
        <v>0</v>
      </c>
    </row>
    <row r="11" spans="1:10" s="245" customFormat="1" ht="20.100000000000001" customHeight="1" x14ac:dyDescent="0.25">
      <c r="A11" s="294" t="s">
        <v>412</v>
      </c>
      <c r="B11" s="296">
        <f t="shared" ref="B11:I11" si="2">SUM(B12:B14)</f>
        <v>0</v>
      </c>
      <c r="C11" s="297">
        <f t="shared" si="2"/>
        <v>0</v>
      </c>
      <c r="D11" s="296">
        <f t="shared" si="2"/>
        <v>0</v>
      </c>
      <c r="E11" s="298">
        <f t="shared" si="2"/>
        <v>0</v>
      </c>
      <c r="F11" s="299">
        <f t="shared" si="2"/>
        <v>0</v>
      </c>
      <c r="G11" s="297">
        <f t="shared" si="2"/>
        <v>0</v>
      </c>
      <c r="H11" s="298">
        <f t="shared" si="2"/>
        <v>0</v>
      </c>
      <c r="I11" s="298">
        <f t="shared" si="2"/>
        <v>0</v>
      </c>
      <c r="J11" s="335">
        <f>SUM(J12:J14)</f>
        <v>0</v>
      </c>
    </row>
    <row r="12" spans="1:10" s="245" customFormat="1" ht="20.100000000000001" customHeight="1" x14ac:dyDescent="0.25">
      <c r="A12" s="291" t="s">
        <v>413</v>
      </c>
      <c r="B12" s="270"/>
      <c r="C12" s="264"/>
      <c r="D12" s="270"/>
      <c r="E12" s="265"/>
      <c r="F12" s="271"/>
      <c r="G12" s="264"/>
      <c r="H12" s="265"/>
      <c r="I12" s="265"/>
      <c r="J12" s="334">
        <f>SUM(B12:I12)</f>
        <v>0</v>
      </c>
    </row>
    <row r="13" spans="1:10" s="245" customFormat="1" ht="20.100000000000001" customHeight="1" x14ac:dyDescent="0.25">
      <c r="A13" s="291" t="s">
        <v>414</v>
      </c>
      <c r="B13" s="270"/>
      <c r="C13" s="264"/>
      <c r="D13" s="270"/>
      <c r="E13" s="265"/>
      <c r="F13" s="271"/>
      <c r="G13" s="264"/>
      <c r="H13" s="265"/>
      <c r="I13" s="265"/>
      <c r="J13" s="334">
        <f>SUM(B13:I13)</f>
        <v>0</v>
      </c>
    </row>
    <row r="14" spans="1:10" s="245" customFormat="1" ht="20.100000000000001" customHeight="1" x14ac:dyDescent="0.25">
      <c r="A14" s="291"/>
      <c r="B14" s="270"/>
      <c r="C14" s="264"/>
      <c r="D14" s="270"/>
      <c r="E14" s="265"/>
      <c r="F14" s="271"/>
      <c r="G14" s="264"/>
      <c r="H14" s="265"/>
      <c r="I14" s="265"/>
      <c r="J14" s="334">
        <f>SUM(B14:I14)</f>
        <v>0</v>
      </c>
    </row>
    <row r="15" spans="1:10" s="245" customFormat="1" ht="20.100000000000001" customHeight="1" x14ac:dyDescent="0.25">
      <c r="A15" s="294" t="s">
        <v>415</v>
      </c>
      <c r="B15" s="296">
        <f t="shared" ref="B15:J15" si="3">SUM(B16:B18)</f>
        <v>0</v>
      </c>
      <c r="C15" s="297">
        <f t="shared" si="3"/>
        <v>0</v>
      </c>
      <c r="D15" s="296">
        <f t="shared" si="3"/>
        <v>0</v>
      </c>
      <c r="E15" s="298">
        <f t="shared" si="3"/>
        <v>0</v>
      </c>
      <c r="F15" s="299">
        <f t="shared" si="3"/>
        <v>0</v>
      </c>
      <c r="G15" s="297">
        <f t="shared" si="3"/>
        <v>0</v>
      </c>
      <c r="H15" s="298">
        <f t="shared" si="3"/>
        <v>0</v>
      </c>
      <c r="I15" s="298">
        <f t="shared" si="3"/>
        <v>0</v>
      </c>
      <c r="J15" s="335">
        <f t="shared" si="3"/>
        <v>0</v>
      </c>
    </row>
    <row r="16" spans="1:10" s="245" customFormat="1" ht="20.100000000000001" customHeight="1" x14ac:dyDescent="0.25">
      <c r="A16" s="291" t="s">
        <v>413</v>
      </c>
      <c r="B16" s="270"/>
      <c r="C16" s="264"/>
      <c r="D16" s="270"/>
      <c r="E16" s="265"/>
      <c r="F16" s="271"/>
      <c r="G16" s="264"/>
      <c r="H16" s="265"/>
      <c r="I16" s="265"/>
      <c r="J16" s="334">
        <f>SUM(B16:I16)</f>
        <v>0</v>
      </c>
    </row>
    <row r="17" spans="1:10" s="245" customFormat="1" ht="20.100000000000001" customHeight="1" x14ac:dyDescent="0.25">
      <c r="A17" s="291" t="s">
        <v>414</v>
      </c>
      <c r="B17" s="270"/>
      <c r="C17" s="264"/>
      <c r="D17" s="270"/>
      <c r="E17" s="265"/>
      <c r="F17" s="271"/>
      <c r="G17" s="264"/>
      <c r="H17" s="265"/>
      <c r="I17" s="265"/>
      <c r="J17" s="334">
        <f>SUM(B17:I17)</f>
        <v>0</v>
      </c>
    </row>
    <row r="18" spans="1:10" s="245" customFormat="1" ht="20.100000000000001" customHeight="1" x14ac:dyDescent="0.25">
      <c r="A18" s="293" t="s">
        <v>451</v>
      </c>
      <c r="B18" s="272"/>
      <c r="C18" s="267"/>
      <c r="D18" s="272"/>
      <c r="E18" s="268"/>
      <c r="F18" s="273"/>
      <c r="G18" s="267"/>
      <c r="H18" s="268"/>
      <c r="I18" s="268"/>
      <c r="J18" s="334">
        <f>SUM(B18:I18)</f>
        <v>0</v>
      </c>
    </row>
    <row r="19" spans="1:10" s="245" customFormat="1" ht="20.100000000000001" customHeight="1" x14ac:dyDescent="0.25">
      <c r="A19" s="300" t="s">
        <v>416</v>
      </c>
      <c r="B19" s="301">
        <f t="shared" ref="B19:I19" si="4">SUM(B20:B25)</f>
        <v>0</v>
      </c>
      <c r="C19" s="302">
        <f>SUM(C20:C25)</f>
        <v>0</v>
      </c>
      <c r="D19" s="302">
        <f t="shared" si="4"/>
        <v>0</v>
      </c>
      <c r="E19" s="306">
        <f t="shared" si="4"/>
        <v>0</v>
      </c>
      <c r="F19" s="305">
        <f t="shared" si="4"/>
        <v>0</v>
      </c>
      <c r="G19" s="302">
        <f t="shared" si="4"/>
        <v>0</v>
      </c>
      <c r="H19" s="306">
        <f t="shared" si="4"/>
        <v>0</v>
      </c>
      <c r="I19" s="303">
        <f t="shared" si="4"/>
        <v>0</v>
      </c>
      <c r="J19" s="333">
        <f>SUM(J20:J25)</f>
        <v>0</v>
      </c>
    </row>
    <row r="20" spans="1:10" s="245" customFormat="1" ht="20.100000000000001" customHeight="1" x14ac:dyDescent="0.25">
      <c r="A20" s="291" t="s">
        <v>417</v>
      </c>
      <c r="B20" s="270"/>
      <c r="C20" s="264"/>
      <c r="D20" s="264"/>
      <c r="E20" s="274"/>
      <c r="F20" s="271"/>
      <c r="G20" s="264"/>
      <c r="H20" s="274"/>
      <c r="I20" s="265"/>
      <c r="J20" s="334">
        <f t="shared" ref="J20:J26" si="5">SUM(B20:I20)</f>
        <v>0</v>
      </c>
    </row>
    <row r="21" spans="1:10" s="245" customFormat="1" ht="20.100000000000001" customHeight="1" x14ac:dyDescent="0.25">
      <c r="A21" s="291" t="s">
        <v>418</v>
      </c>
      <c r="B21" s="270"/>
      <c r="C21" s="264"/>
      <c r="D21" s="264"/>
      <c r="E21" s="274"/>
      <c r="F21" s="271"/>
      <c r="G21" s="264"/>
      <c r="H21" s="274"/>
      <c r="I21" s="265"/>
      <c r="J21" s="334">
        <f t="shared" si="5"/>
        <v>0</v>
      </c>
    </row>
    <row r="22" spans="1:10" s="245" customFormat="1" ht="20.100000000000001" customHeight="1" x14ac:dyDescent="0.25">
      <c r="A22" s="291" t="s">
        <v>419</v>
      </c>
      <c r="B22" s="270"/>
      <c r="C22" s="264"/>
      <c r="D22" s="264"/>
      <c r="E22" s="274"/>
      <c r="F22" s="271"/>
      <c r="G22" s="264"/>
      <c r="H22" s="274"/>
      <c r="I22" s="265"/>
      <c r="J22" s="334">
        <f t="shared" si="5"/>
        <v>0</v>
      </c>
    </row>
    <row r="23" spans="1:10" s="245" customFormat="1" ht="20.100000000000001" customHeight="1" x14ac:dyDescent="0.25">
      <c r="A23" s="291" t="s">
        <v>420</v>
      </c>
      <c r="B23" s="270"/>
      <c r="C23" s="264"/>
      <c r="D23" s="264"/>
      <c r="E23" s="274"/>
      <c r="F23" s="271"/>
      <c r="G23" s="264"/>
      <c r="H23" s="274"/>
      <c r="I23" s="265"/>
      <c r="J23" s="334">
        <f t="shared" si="5"/>
        <v>0</v>
      </c>
    </row>
    <row r="24" spans="1:10" s="245" customFormat="1" ht="20.100000000000001" customHeight="1" x14ac:dyDescent="0.25">
      <c r="A24" s="291" t="s">
        <v>421</v>
      </c>
      <c r="B24" s="270"/>
      <c r="C24" s="264"/>
      <c r="D24" s="264"/>
      <c r="E24" s="274"/>
      <c r="F24" s="271"/>
      <c r="G24" s="264"/>
      <c r="H24" s="274"/>
      <c r="I24" s="265"/>
      <c r="J24" s="334">
        <f t="shared" si="5"/>
        <v>0</v>
      </c>
    </row>
    <row r="25" spans="1:10" ht="20.100000000000001" customHeight="1" x14ac:dyDescent="0.25">
      <c r="A25" s="293" t="s">
        <v>451</v>
      </c>
      <c r="B25" s="272"/>
      <c r="C25" s="267"/>
      <c r="D25" s="267"/>
      <c r="E25" s="275"/>
      <c r="F25" s="273"/>
      <c r="G25" s="267"/>
      <c r="H25" s="275"/>
      <c r="I25" s="268"/>
      <c r="J25" s="334">
        <f t="shared" si="5"/>
        <v>0</v>
      </c>
    </row>
    <row r="26" spans="1:10" s="257" customFormat="1" ht="20.100000000000001" customHeight="1" x14ac:dyDescent="0.25">
      <c r="A26" s="295" t="s">
        <v>422</v>
      </c>
      <c r="B26" s="290">
        <f t="shared" ref="B26:I26" si="6">SUM(B5+B10+B19)</f>
        <v>0</v>
      </c>
      <c r="C26" s="285">
        <f t="shared" si="6"/>
        <v>0</v>
      </c>
      <c r="D26" s="285">
        <f t="shared" si="6"/>
        <v>0</v>
      </c>
      <c r="E26" s="286">
        <f t="shared" si="6"/>
        <v>0</v>
      </c>
      <c r="F26" s="287">
        <f t="shared" si="6"/>
        <v>0</v>
      </c>
      <c r="G26" s="285">
        <f t="shared" si="6"/>
        <v>0</v>
      </c>
      <c r="H26" s="286">
        <f t="shared" si="6"/>
        <v>0</v>
      </c>
      <c r="I26" s="288">
        <f t="shared" si="6"/>
        <v>0</v>
      </c>
      <c r="J26" s="340">
        <f t="shared" si="5"/>
        <v>0</v>
      </c>
    </row>
    <row r="27" spans="1:10" s="257" customFormat="1" ht="15" customHeight="1" x14ac:dyDescent="0.25">
      <c r="A27" s="258" t="s">
        <v>460</v>
      </c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0" s="257" customFormat="1" ht="15" customHeight="1" x14ac:dyDescent="0.25">
      <c r="A28" s="258" t="s">
        <v>461</v>
      </c>
      <c r="B28" s="259"/>
      <c r="C28" s="259"/>
      <c r="D28" s="259"/>
      <c r="E28" s="259"/>
      <c r="F28" s="259"/>
      <c r="G28" s="259"/>
      <c r="H28" s="259"/>
      <c r="I28" s="259"/>
      <c r="J28" s="259"/>
    </row>
    <row r="29" spans="1:10" ht="15" customHeight="1" x14ac:dyDescent="0.25">
      <c r="A29" s="258" t="s">
        <v>462</v>
      </c>
    </row>
    <row r="30" spans="1:10" ht="15" customHeight="1" x14ac:dyDescent="0.25">
      <c r="A30" s="258" t="s">
        <v>463</v>
      </c>
    </row>
    <row r="31" spans="1:10" ht="15" customHeight="1" x14ac:dyDescent="0.25">
      <c r="A31" s="258" t="s">
        <v>464</v>
      </c>
    </row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sheetProtection sheet="1" insertColumns="0" insertRows="0"/>
  <mergeCells count="6">
    <mergeCell ref="A1:A3"/>
    <mergeCell ref="B1:J1"/>
    <mergeCell ref="B2:E3"/>
    <mergeCell ref="F2:H3"/>
    <mergeCell ref="I2:I3"/>
    <mergeCell ref="J2:J3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4" orientation="landscape" r:id="rId1"/>
  <headerFooter alignWithMargins="0">
    <oddHeader>&amp;C&amp;"Arial,Gras"&amp;12Estimation du nb de jours (expertise + perdiems)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9FB1-F684-4235-9328-6501CDD6588E}">
  <dimension ref="A1:I48"/>
  <sheetViews>
    <sheetView zoomScaleNormal="100" workbookViewId="0">
      <selection sqref="A1:A2"/>
    </sheetView>
  </sheetViews>
  <sheetFormatPr baseColWidth="10" defaultRowHeight="13.5" x14ac:dyDescent="0.25"/>
  <cols>
    <col min="1" max="1" width="55.7109375" style="254" customWidth="1"/>
    <col min="2" max="2" width="18.7109375" style="254" customWidth="1"/>
    <col min="3" max="3" width="10.7109375" style="254" customWidth="1"/>
    <col min="4" max="4" width="9.140625" style="254" customWidth="1"/>
    <col min="5" max="5" width="18.7109375" style="255" customWidth="1"/>
    <col min="6" max="256" width="11.42578125" style="246"/>
    <col min="257" max="257" width="51.42578125" style="246" customWidth="1"/>
    <col min="258" max="258" width="15.7109375" style="246" customWidth="1"/>
    <col min="259" max="259" width="8.7109375" style="246" customWidth="1"/>
    <col min="260" max="260" width="9.140625" style="246" customWidth="1"/>
    <col min="261" max="261" width="15.7109375" style="246" customWidth="1"/>
    <col min="262" max="512" width="11.42578125" style="246"/>
    <col min="513" max="513" width="51.42578125" style="246" customWidth="1"/>
    <col min="514" max="514" width="15.7109375" style="246" customWidth="1"/>
    <col min="515" max="515" width="8.7109375" style="246" customWidth="1"/>
    <col min="516" max="516" width="9.140625" style="246" customWidth="1"/>
    <col min="517" max="517" width="15.7109375" style="246" customWidth="1"/>
    <col min="518" max="768" width="11.42578125" style="246"/>
    <col min="769" max="769" width="51.42578125" style="246" customWidth="1"/>
    <col min="770" max="770" width="15.7109375" style="246" customWidth="1"/>
    <col min="771" max="771" width="8.7109375" style="246" customWidth="1"/>
    <col min="772" max="772" width="9.140625" style="246" customWidth="1"/>
    <col min="773" max="773" width="15.7109375" style="246" customWidth="1"/>
    <col min="774" max="1024" width="11.42578125" style="246"/>
    <col min="1025" max="1025" width="51.42578125" style="246" customWidth="1"/>
    <col min="1026" max="1026" width="15.7109375" style="246" customWidth="1"/>
    <col min="1027" max="1027" width="8.7109375" style="246" customWidth="1"/>
    <col min="1028" max="1028" width="9.140625" style="246" customWidth="1"/>
    <col min="1029" max="1029" width="15.7109375" style="246" customWidth="1"/>
    <col min="1030" max="1280" width="11.42578125" style="246"/>
    <col min="1281" max="1281" width="51.42578125" style="246" customWidth="1"/>
    <col min="1282" max="1282" width="15.7109375" style="246" customWidth="1"/>
    <col min="1283" max="1283" width="8.7109375" style="246" customWidth="1"/>
    <col min="1284" max="1284" width="9.140625" style="246" customWidth="1"/>
    <col min="1285" max="1285" width="15.7109375" style="246" customWidth="1"/>
    <col min="1286" max="1536" width="11.42578125" style="246"/>
    <col min="1537" max="1537" width="51.42578125" style="246" customWidth="1"/>
    <col min="1538" max="1538" width="15.7109375" style="246" customWidth="1"/>
    <col min="1539" max="1539" width="8.7109375" style="246" customWidth="1"/>
    <col min="1540" max="1540" width="9.140625" style="246" customWidth="1"/>
    <col min="1541" max="1541" width="15.7109375" style="246" customWidth="1"/>
    <col min="1542" max="1792" width="11.42578125" style="246"/>
    <col min="1793" max="1793" width="51.42578125" style="246" customWidth="1"/>
    <col min="1794" max="1794" width="15.7109375" style="246" customWidth="1"/>
    <col min="1795" max="1795" width="8.7109375" style="246" customWidth="1"/>
    <col min="1796" max="1796" width="9.140625" style="246" customWidth="1"/>
    <col min="1797" max="1797" width="15.7109375" style="246" customWidth="1"/>
    <col min="1798" max="2048" width="11.42578125" style="246"/>
    <col min="2049" max="2049" width="51.42578125" style="246" customWidth="1"/>
    <col min="2050" max="2050" width="15.7109375" style="246" customWidth="1"/>
    <col min="2051" max="2051" width="8.7109375" style="246" customWidth="1"/>
    <col min="2052" max="2052" width="9.140625" style="246" customWidth="1"/>
    <col min="2053" max="2053" width="15.7109375" style="246" customWidth="1"/>
    <col min="2054" max="2304" width="11.42578125" style="246"/>
    <col min="2305" max="2305" width="51.42578125" style="246" customWidth="1"/>
    <col min="2306" max="2306" width="15.7109375" style="246" customWidth="1"/>
    <col min="2307" max="2307" width="8.7109375" style="246" customWidth="1"/>
    <col min="2308" max="2308" width="9.140625" style="246" customWidth="1"/>
    <col min="2309" max="2309" width="15.7109375" style="246" customWidth="1"/>
    <col min="2310" max="2560" width="11.42578125" style="246"/>
    <col min="2561" max="2561" width="51.42578125" style="246" customWidth="1"/>
    <col min="2562" max="2562" width="15.7109375" style="246" customWidth="1"/>
    <col min="2563" max="2563" width="8.7109375" style="246" customWidth="1"/>
    <col min="2564" max="2564" width="9.140625" style="246" customWidth="1"/>
    <col min="2565" max="2565" width="15.7109375" style="246" customWidth="1"/>
    <col min="2566" max="2816" width="11.42578125" style="246"/>
    <col min="2817" max="2817" width="51.42578125" style="246" customWidth="1"/>
    <col min="2818" max="2818" width="15.7109375" style="246" customWidth="1"/>
    <col min="2819" max="2819" width="8.7109375" style="246" customWidth="1"/>
    <col min="2820" max="2820" width="9.140625" style="246" customWidth="1"/>
    <col min="2821" max="2821" width="15.7109375" style="246" customWidth="1"/>
    <col min="2822" max="3072" width="11.42578125" style="246"/>
    <col min="3073" max="3073" width="51.42578125" style="246" customWidth="1"/>
    <col min="3074" max="3074" width="15.7109375" style="246" customWidth="1"/>
    <col min="3075" max="3075" width="8.7109375" style="246" customWidth="1"/>
    <col min="3076" max="3076" width="9.140625" style="246" customWidth="1"/>
    <col min="3077" max="3077" width="15.7109375" style="246" customWidth="1"/>
    <col min="3078" max="3328" width="11.42578125" style="246"/>
    <col min="3329" max="3329" width="51.42578125" style="246" customWidth="1"/>
    <col min="3330" max="3330" width="15.7109375" style="246" customWidth="1"/>
    <col min="3331" max="3331" width="8.7109375" style="246" customWidth="1"/>
    <col min="3332" max="3332" width="9.140625" style="246" customWidth="1"/>
    <col min="3333" max="3333" width="15.7109375" style="246" customWidth="1"/>
    <col min="3334" max="3584" width="11.42578125" style="246"/>
    <col min="3585" max="3585" width="51.42578125" style="246" customWidth="1"/>
    <col min="3586" max="3586" width="15.7109375" style="246" customWidth="1"/>
    <col min="3587" max="3587" width="8.7109375" style="246" customWidth="1"/>
    <col min="3588" max="3588" width="9.140625" style="246" customWidth="1"/>
    <col min="3589" max="3589" width="15.7109375" style="246" customWidth="1"/>
    <col min="3590" max="3840" width="11.42578125" style="246"/>
    <col min="3841" max="3841" width="51.42578125" style="246" customWidth="1"/>
    <col min="3842" max="3842" width="15.7109375" style="246" customWidth="1"/>
    <col min="3843" max="3843" width="8.7109375" style="246" customWidth="1"/>
    <col min="3844" max="3844" width="9.140625" style="246" customWidth="1"/>
    <col min="3845" max="3845" width="15.7109375" style="246" customWidth="1"/>
    <col min="3846" max="4096" width="11.42578125" style="246"/>
    <col min="4097" max="4097" width="51.42578125" style="246" customWidth="1"/>
    <col min="4098" max="4098" width="15.7109375" style="246" customWidth="1"/>
    <col min="4099" max="4099" width="8.7109375" style="246" customWidth="1"/>
    <col min="4100" max="4100" width="9.140625" style="246" customWidth="1"/>
    <col min="4101" max="4101" width="15.7109375" style="246" customWidth="1"/>
    <col min="4102" max="4352" width="11.42578125" style="246"/>
    <col min="4353" max="4353" width="51.42578125" style="246" customWidth="1"/>
    <col min="4354" max="4354" width="15.7109375" style="246" customWidth="1"/>
    <col min="4355" max="4355" width="8.7109375" style="246" customWidth="1"/>
    <col min="4356" max="4356" width="9.140625" style="246" customWidth="1"/>
    <col min="4357" max="4357" width="15.7109375" style="246" customWidth="1"/>
    <col min="4358" max="4608" width="11.42578125" style="246"/>
    <col min="4609" max="4609" width="51.42578125" style="246" customWidth="1"/>
    <col min="4610" max="4610" width="15.7109375" style="246" customWidth="1"/>
    <col min="4611" max="4611" width="8.7109375" style="246" customWidth="1"/>
    <col min="4612" max="4612" width="9.140625" style="246" customWidth="1"/>
    <col min="4613" max="4613" width="15.7109375" style="246" customWidth="1"/>
    <col min="4614" max="4864" width="11.42578125" style="246"/>
    <col min="4865" max="4865" width="51.42578125" style="246" customWidth="1"/>
    <col min="4866" max="4866" width="15.7109375" style="246" customWidth="1"/>
    <col min="4867" max="4867" width="8.7109375" style="246" customWidth="1"/>
    <col min="4868" max="4868" width="9.140625" style="246" customWidth="1"/>
    <col min="4869" max="4869" width="15.7109375" style="246" customWidth="1"/>
    <col min="4870" max="5120" width="11.42578125" style="246"/>
    <col min="5121" max="5121" width="51.42578125" style="246" customWidth="1"/>
    <col min="5122" max="5122" width="15.7109375" style="246" customWidth="1"/>
    <col min="5123" max="5123" width="8.7109375" style="246" customWidth="1"/>
    <col min="5124" max="5124" width="9.140625" style="246" customWidth="1"/>
    <col min="5125" max="5125" width="15.7109375" style="246" customWidth="1"/>
    <col min="5126" max="5376" width="11.42578125" style="246"/>
    <col min="5377" max="5377" width="51.42578125" style="246" customWidth="1"/>
    <col min="5378" max="5378" width="15.7109375" style="246" customWidth="1"/>
    <col min="5379" max="5379" width="8.7109375" style="246" customWidth="1"/>
    <col min="5380" max="5380" width="9.140625" style="246" customWidth="1"/>
    <col min="5381" max="5381" width="15.7109375" style="246" customWidth="1"/>
    <col min="5382" max="5632" width="11.42578125" style="246"/>
    <col min="5633" max="5633" width="51.42578125" style="246" customWidth="1"/>
    <col min="5634" max="5634" width="15.7109375" style="246" customWidth="1"/>
    <col min="5635" max="5635" width="8.7109375" style="246" customWidth="1"/>
    <col min="5636" max="5636" width="9.140625" style="246" customWidth="1"/>
    <col min="5637" max="5637" width="15.7109375" style="246" customWidth="1"/>
    <col min="5638" max="5888" width="11.42578125" style="246"/>
    <col min="5889" max="5889" width="51.42578125" style="246" customWidth="1"/>
    <col min="5890" max="5890" width="15.7109375" style="246" customWidth="1"/>
    <col min="5891" max="5891" width="8.7109375" style="246" customWidth="1"/>
    <col min="5892" max="5892" width="9.140625" style="246" customWidth="1"/>
    <col min="5893" max="5893" width="15.7109375" style="246" customWidth="1"/>
    <col min="5894" max="6144" width="11.42578125" style="246"/>
    <col min="6145" max="6145" width="51.42578125" style="246" customWidth="1"/>
    <col min="6146" max="6146" width="15.7109375" style="246" customWidth="1"/>
    <col min="6147" max="6147" width="8.7109375" style="246" customWidth="1"/>
    <col min="6148" max="6148" width="9.140625" style="246" customWidth="1"/>
    <col min="6149" max="6149" width="15.7109375" style="246" customWidth="1"/>
    <col min="6150" max="6400" width="11.42578125" style="246"/>
    <col min="6401" max="6401" width="51.42578125" style="246" customWidth="1"/>
    <col min="6402" max="6402" width="15.7109375" style="246" customWidth="1"/>
    <col min="6403" max="6403" width="8.7109375" style="246" customWidth="1"/>
    <col min="6404" max="6404" width="9.140625" style="246" customWidth="1"/>
    <col min="6405" max="6405" width="15.7109375" style="246" customWidth="1"/>
    <col min="6406" max="6656" width="11.42578125" style="246"/>
    <col min="6657" max="6657" width="51.42578125" style="246" customWidth="1"/>
    <col min="6658" max="6658" width="15.7109375" style="246" customWidth="1"/>
    <col min="6659" max="6659" width="8.7109375" style="246" customWidth="1"/>
    <col min="6660" max="6660" width="9.140625" style="246" customWidth="1"/>
    <col min="6661" max="6661" width="15.7109375" style="246" customWidth="1"/>
    <col min="6662" max="6912" width="11.42578125" style="246"/>
    <col min="6913" max="6913" width="51.42578125" style="246" customWidth="1"/>
    <col min="6914" max="6914" width="15.7109375" style="246" customWidth="1"/>
    <col min="6915" max="6915" width="8.7109375" style="246" customWidth="1"/>
    <col min="6916" max="6916" width="9.140625" style="246" customWidth="1"/>
    <col min="6917" max="6917" width="15.7109375" style="246" customWidth="1"/>
    <col min="6918" max="7168" width="11.42578125" style="246"/>
    <col min="7169" max="7169" width="51.42578125" style="246" customWidth="1"/>
    <col min="7170" max="7170" width="15.7109375" style="246" customWidth="1"/>
    <col min="7171" max="7171" width="8.7109375" style="246" customWidth="1"/>
    <col min="7172" max="7172" width="9.140625" style="246" customWidth="1"/>
    <col min="7173" max="7173" width="15.7109375" style="246" customWidth="1"/>
    <col min="7174" max="7424" width="11.42578125" style="246"/>
    <col min="7425" max="7425" width="51.42578125" style="246" customWidth="1"/>
    <col min="7426" max="7426" width="15.7109375" style="246" customWidth="1"/>
    <col min="7427" max="7427" width="8.7109375" style="246" customWidth="1"/>
    <col min="7428" max="7428" width="9.140625" style="246" customWidth="1"/>
    <col min="7429" max="7429" width="15.7109375" style="246" customWidth="1"/>
    <col min="7430" max="7680" width="11.42578125" style="246"/>
    <col min="7681" max="7681" width="51.42578125" style="246" customWidth="1"/>
    <col min="7682" max="7682" width="15.7109375" style="246" customWidth="1"/>
    <col min="7683" max="7683" width="8.7109375" style="246" customWidth="1"/>
    <col min="7684" max="7684" width="9.140625" style="246" customWidth="1"/>
    <col min="7685" max="7685" width="15.7109375" style="246" customWidth="1"/>
    <col min="7686" max="7936" width="11.42578125" style="246"/>
    <col min="7937" max="7937" width="51.42578125" style="246" customWidth="1"/>
    <col min="7938" max="7938" width="15.7109375" style="246" customWidth="1"/>
    <col min="7939" max="7939" width="8.7109375" style="246" customWidth="1"/>
    <col min="7940" max="7940" width="9.140625" style="246" customWidth="1"/>
    <col min="7941" max="7941" width="15.7109375" style="246" customWidth="1"/>
    <col min="7942" max="8192" width="11.42578125" style="246"/>
    <col min="8193" max="8193" width="51.42578125" style="246" customWidth="1"/>
    <col min="8194" max="8194" width="15.7109375" style="246" customWidth="1"/>
    <col min="8195" max="8195" width="8.7109375" style="246" customWidth="1"/>
    <col min="8196" max="8196" width="9.140625" style="246" customWidth="1"/>
    <col min="8197" max="8197" width="15.7109375" style="246" customWidth="1"/>
    <col min="8198" max="8448" width="11.42578125" style="246"/>
    <col min="8449" max="8449" width="51.42578125" style="246" customWidth="1"/>
    <col min="8450" max="8450" width="15.7109375" style="246" customWidth="1"/>
    <col min="8451" max="8451" width="8.7109375" style="246" customWidth="1"/>
    <col min="8452" max="8452" width="9.140625" style="246" customWidth="1"/>
    <col min="8453" max="8453" width="15.7109375" style="246" customWidth="1"/>
    <col min="8454" max="8704" width="11.42578125" style="246"/>
    <col min="8705" max="8705" width="51.42578125" style="246" customWidth="1"/>
    <col min="8706" max="8706" width="15.7109375" style="246" customWidth="1"/>
    <col min="8707" max="8707" width="8.7109375" style="246" customWidth="1"/>
    <col min="8708" max="8708" width="9.140625" style="246" customWidth="1"/>
    <col min="8709" max="8709" width="15.7109375" style="246" customWidth="1"/>
    <col min="8710" max="8960" width="11.42578125" style="246"/>
    <col min="8961" max="8961" width="51.42578125" style="246" customWidth="1"/>
    <col min="8962" max="8962" width="15.7109375" style="246" customWidth="1"/>
    <col min="8963" max="8963" width="8.7109375" style="246" customWidth="1"/>
    <col min="8964" max="8964" width="9.140625" style="246" customWidth="1"/>
    <col min="8965" max="8965" width="15.7109375" style="246" customWidth="1"/>
    <col min="8966" max="9216" width="11.42578125" style="246"/>
    <col min="9217" max="9217" width="51.42578125" style="246" customWidth="1"/>
    <col min="9218" max="9218" width="15.7109375" style="246" customWidth="1"/>
    <col min="9219" max="9219" width="8.7109375" style="246" customWidth="1"/>
    <col min="9220" max="9220" width="9.140625" style="246" customWidth="1"/>
    <col min="9221" max="9221" width="15.7109375" style="246" customWidth="1"/>
    <col min="9222" max="9472" width="11.42578125" style="246"/>
    <col min="9473" max="9473" width="51.42578125" style="246" customWidth="1"/>
    <col min="9474" max="9474" width="15.7109375" style="246" customWidth="1"/>
    <col min="9475" max="9475" width="8.7109375" style="246" customWidth="1"/>
    <col min="9476" max="9476" width="9.140625" style="246" customWidth="1"/>
    <col min="9477" max="9477" width="15.7109375" style="246" customWidth="1"/>
    <col min="9478" max="9728" width="11.42578125" style="246"/>
    <col min="9729" max="9729" width="51.42578125" style="246" customWidth="1"/>
    <col min="9730" max="9730" width="15.7109375" style="246" customWidth="1"/>
    <col min="9731" max="9731" width="8.7109375" style="246" customWidth="1"/>
    <col min="9732" max="9732" width="9.140625" style="246" customWidth="1"/>
    <col min="9733" max="9733" width="15.7109375" style="246" customWidth="1"/>
    <col min="9734" max="9984" width="11.42578125" style="246"/>
    <col min="9985" max="9985" width="51.42578125" style="246" customWidth="1"/>
    <col min="9986" max="9986" width="15.7109375" style="246" customWidth="1"/>
    <col min="9987" max="9987" width="8.7109375" style="246" customWidth="1"/>
    <col min="9988" max="9988" width="9.140625" style="246" customWidth="1"/>
    <col min="9989" max="9989" width="15.7109375" style="246" customWidth="1"/>
    <col min="9990" max="10240" width="11.42578125" style="246"/>
    <col min="10241" max="10241" width="51.42578125" style="246" customWidth="1"/>
    <col min="10242" max="10242" width="15.7109375" style="246" customWidth="1"/>
    <col min="10243" max="10243" width="8.7109375" style="246" customWidth="1"/>
    <col min="10244" max="10244" width="9.140625" style="246" customWidth="1"/>
    <col min="10245" max="10245" width="15.7109375" style="246" customWidth="1"/>
    <col min="10246" max="10496" width="11.42578125" style="246"/>
    <col min="10497" max="10497" width="51.42578125" style="246" customWidth="1"/>
    <col min="10498" max="10498" width="15.7109375" style="246" customWidth="1"/>
    <col min="10499" max="10499" width="8.7109375" style="246" customWidth="1"/>
    <col min="10500" max="10500" width="9.140625" style="246" customWidth="1"/>
    <col min="10501" max="10501" width="15.7109375" style="246" customWidth="1"/>
    <col min="10502" max="10752" width="11.42578125" style="246"/>
    <col min="10753" max="10753" width="51.42578125" style="246" customWidth="1"/>
    <col min="10754" max="10754" width="15.7109375" style="246" customWidth="1"/>
    <col min="10755" max="10755" width="8.7109375" style="246" customWidth="1"/>
    <col min="10756" max="10756" width="9.140625" style="246" customWidth="1"/>
    <col min="10757" max="10757" width="15.7109375" style="246" customWidth="1"/>
    <col min="10758" max="11008" width="11.42578125" style="246"/>
    <col min="11009" max="11009" width="51.42578125" style="246" customWidth="1"/>
    <col min="11010" max="11010" width="15.7109375" style="246" customWidth="1"/>
    <col min="11011" max="11011" width="8.7109375" style="246" customWidth="1"/>
    <col min="11012" max="11012" width="9.140625" style="246" customWidth="1"/>
    <col min="11013" max="11013" width="15.7109375" style="246" customWidth="1"/>
    <col min="11014" max="11264" width="11.42578125" style="246"/>
    <col min="11265" max="11265" width="51.42578125" style="246" customWidth="1"/>
    <col min="11266" max="11266" width="15.7109375" style="246" customWidth="1"/>
    <col min="11267" max="11267" width="8.7109375" style="246" customWidth="1"/>
    <col min="11268" max="11268" width="9.140625" style="246" customWidth="1"/>
    <col min="11269" max="11269" width="15.7109375" style="246" customWidth="1"/>
    <col min="11270" max="11520" width="11.42578125" style="246"/>
    <col min="11521" max="11521" width="51.42578125" style="246" customWidth="1"/>
    <col min="11522" max="11522" width="15.7109375" style="246" customWidth="1"/>
    <col min="11523" max="11523" width="8.7109375" style="246" customWidth="1"/>
    <col min="11524" max="11524" width="9.140625" style="246" customWidth="1"/>
    <col min="11525" max="11525" width="15.7109375" style="246" customWidth="1"/>
    <col min="11526" max="11776" width="11.42578125" style="246"/>
    <col min="11777" max="11777" width="51.42578125" style="246" customWidth="1"/>
    <col min="11778" max="11778" width="15.7109375" style="246" customWidth="1"/>
    <col min="11779" max="11779" width="8.7109375" style="246" customWidth="1"/>
    <col min="11780" max="11780" width="9.140625" style="246" customWidth="1"/>
    <col min="11781" max="11781" width="15.7109375" style="246" customWidth="1"/>
    <col min="11782" max="12032" width="11.42578125" style="246"/>
    <col min="12033" max="12033" width="51.42578125" style="246" customWidth="1"/>
    <col min="12034" max="12034" width="15.7109375" style="246" customWidth="1"/>
    <col min="12035" max="12035" width="8.7109375" style="246" customWidth="1"/>
    <col min="12036" max="12036" width="9.140625" style="246" customWidth="1"/>
    <col min="12037" max="12037" width="15.7109375" style="246" customWidth="1"/>
    <col min="12038" max="12288" width="11.42578125" style="246"/>
    <col min="12289" max="12289" width="51.42578125" style="246" customWidth="1"/>
    <col min="12290" max="12290" width="15.7109375" style="246" customWidth="1"/>
    <col min="12291" max="12291" width="8.7109375" style="246" customWidth="1"/>
    <col min="12292" max="12292" width="9.140625" style="246" customWidth="1"/>
    <col min="12293" max="12293" width="15.7109375" style="246" customWidth="1"/>
    <col min="12294" max="12544" width="11.42578125" style="246"/>
    <col min="12545" max="12545" width="51.42578125" style="246" customWidth="1"/>
    <col min="12546" max="12546" width="15.7109375" style="246" customWidth="1"/>
    <col min="12547" max="12547" width="8.7109375" style="246" customWidth="1"/>
    <col min="12548" max="12548" width="9.140625" style="246" customWidth="1"/>
    <col min="12549" max="12549" width="15.7109375" style="246" customWidth="1"/>
    <col min="12550" max="12800" width="11.42578125" style="246"/>
    <col min="12801" max="12801" width="51.42578125" style="246" customWidth="1"/>
    <col min="12802" max="12802" width="15.7109375" style="246" customWidth="1"/>
    <col min="12803" max="12803" width="8.7109375" style="246" customWidth="1"/>
    <col min="12804" max="12804" width="9.140625" style="246" customWidth="1"/>
    <col min="12805" max="12805" width="15.7109375" style="246" customWidth="1"/>
    <col min="12806" max="13056" width="11.42578125" style="246"/>
    <col min="13057" max="13057" width="51.42578125" style="246" customWidth="1"/>
    <col min="13058" max="13058" width="15.7109375" style="246" customWidth="1"/>
    <col min="13059" max="13059" width="8.7109375" style="246" customWidth="1"/>
    <col min="13060" max="13060" width="9.140625" style="246" customWidth="1"/>
    <col min="13061" max="13061" width="15.7109375" style="246" customWidth="1"/>
    <col min="13062" max="13312" width="11.42578125" style="246"/>
    <col min="13313" max="13313" width="51.42578125" style="246" customWidth="1"/>
    <col min="13314" max="13314" width="15.7109375" style="246" customWidth="1"/>
    <col min="13315" max="13315" width="8.7109375" style="246" customWidth="1"/>
    <col min="13316" max="13316" width="9.140625" style="246" customWidth="1"/>
    <col min="13317" max="13317" width="15.7109375" style="246" customWidth="1"/>
    <col min="13318" max="13568" width="11.42578125" style="246"/>
    <col min="13569" max="13569" width="51.42578125" style="246" customWidth="1"/>
    <col min="13570" max="13570" width="15.7109375" style="246" customWidth="1"/>
    <col min="13571" max="13571" width="8.7109375" style="246" customWidth="1"/>
    <col min="13572" max="13572" width="9.140625" style="246" customWidth="1"/>
    <col min="13573" max="13573" width="15.7109375" style="246" customWidth="1"/>
    <col min="13574" max="13824" width="11.42578125" style="246"/>
    <col min="13825" max="13825" width="51.42578125" style="246" customWidth="1"/>
    <col min="13826" max="13826" width="15.7109375" style="246" customWidth="1"/>
    <col min="13827" max="13827" width="8.7109375" style="246" customWidth="1"/>
    <col min="13828" max="13828" width="9.140625" style="246" customWidth="1"/>
    <col min="13829" max="13829" width="15.7109375" style="246" customWidth="1"/>
    <col min="13830" max="14080" width="11.42578125" style="246"/>
    <col min="14081" max="14081" width="51.42578125" style="246" customWidth="1"/>
    <col min="14082" max="14082" width="15.7109375" style="246" customWidth="1"/>
    <col min="14083" max="14083" width="8.7109375" style="246" customWidth="1"/>
    <col min="14084" max="14084" width="9.140625" style="246" customWidth="1"/>
    <col min="14085" max="14085" width="15.7109375" style="246" customWidth="1"/>
    <col min="14086" max="14336" width="11.42578125" style="246"/>
    <col min="14337" max="14337" width="51.42578125" style="246" customWidth="1"/>
    <col min="14338" max="14338" width="15.7109375" style="246" customWidth="1"/>
    <col min="14339" max="14339" width="8.7109375" style="246" customWidth="1"/>
    <col min="14340" max="14340" width="9.140625" style="246" customWidth="1"/>
    <col min="14341" max="14341" width="15.7109375" style="246" customWidth="1"/>
    <col min="14342" max="14592" width="11.42578125" style="246"/>
    <col min="14593" max="14593" width="51.42578125" style="246" customWidth="1"/>
    <col min="14594" max="14594" width="15.7109375" style="246" customWidth="1"/>
    <col min="14595" max="14595" width="8.7109375" style="246" customWidth="1"/>
    <col min="14596" max="14596" width="9.140625" style="246" customWidth="1"/>
    <col min="14597" max="14597" width="15.7109375" style="246" customWidth="1"/>
    <col min="14598" max="14848" width="11.42578125" style="246"/>
    <col min="14849" max="14849" width="51.42578125" style="246" customWidth="1"/>
    <col min="14850" max="14850" width="15.7109375" style="246" customWidth="1"/>
    <col min="14851" max="14851" width="8.7109375" style="246" customWidth="1"/>
    <col min="14852" max="14852" width="9.140625" style="246" customWidth="1"/>
    <col min="14853" max="14853" width="15.7109375" style="246" customWidth="1"/>
    <col min="14854" max="15104" width="11.42578125" style="246"/>
    <col min="15105" max="15105" width="51.42578125" style="246" customWidth="1"/>
    <col min="15106" max="15106" width="15.7109375" style="246" customWidth="1"/>
    <col min="15107" max="15107" width="8.7109375" style="246" customWidth="1"/>
    <col min="15108" max="15108" width="9.140625" style="246" customWidth="1"/>
    <col min="15109" max="15109" width="15.7109375" style="246" customWidth="1"/>
    <col min="15110" max="15360" width="11.42578125" style="246"/>
    <col min="15361" max="15361" width="51.42578125" style="246" customWidth="1"/>
    <col min="15362" max="15362" width="15.7109375" style="246" customWidth="1"/>
    <col min="15363" max="15363" width="8.7109375" style="246" customWidth="1"/>
    <col min="15364" max="15364" width="9.140625" style="246" customWidth="1"/>
    <col min="15365" max="15365" width="15.7109375" style="246" customWidth="1"/>
    <col min="15366" max="15616" width="11.42578125" style="246"/>
    <col min="15617" max="15617" width="51.42578125" style="246" customWidth="1"/>
    <col min="15618" max="15618" width="15.7109375" style="246" customWidth="1"/>
    <col min="15619" max="15619" width="8.7109375" style="246" customWidth="1"/>
    <col min="15620" max="15620" width="9.140625" style="246" customWidth="1"/>
    <col min="15621" max="15621" width="15.7109375" style="246" customWidth="1"/>
    <col min="15622" max="15872" width="11.42578125" style="246"/>
    <col min="15873" max="15873" width="51.42578125" style="246" customWidth="1"/>
    <col min="15874" max="15874" width="15.7109375" style="246" customWidth="1"/>
    <col min="15875" max="15875" width="8.7109375" style="246" customWidth="1"/>
    <col min="15876" max="15876" width="9.140625" style="246" customWidth="1"/>
    <col min="15877" max="15877" width="15.7109375" style="246" customWidth="1"/>
    <col min="15878" max="16128" width="11.42578125" style="246"/>
    <col min="16129" max="16129" width="51.42578125" style="246" customWidth="1"/>
    <col min="16130" max="16130" width="15.7109375" style="246" customWidth="1"/>
    <col min="16131" max="16131" width="8.7109375" style="246" customWidth="1"/>
    <col min="16132" max="16132" width="9.140625" style="246" customWidth="1"/>
    <col min="16133" max="16133" width="15.7109375" style="246" customWidth="1"/>
    <col min="16134" max="16384" width="11.42578125" style="246"/>
  </cols>
  <sheetData>
    <row r="1" spans="1:9" ht="20.100000000000001" customHeight="1" x14ac:dyDescent="0.25">
      <c r="A1" s="353" t="s">
        <v>450</v>
      </c>
      <c r="B1" s="353" t="s">
        <v>423</v>
      </c>
      <c r="C1" s="355" t="s">
        <v>424</v>
      </c>
      <c r="D1" s="356"/>
      <c r="E1" s="359" t="s">
        <v>454</v>
      </c>
    </row>
    <row r="2" spans="1:9" ht="20.100000000000001" customHeight="1" x14ac:dyDescent="0.25">
      <c r="A2" s="354"/>
      <c r="B2" s="354"/>
      <c r="C2" s="357"/>
      <c r="D2" s="358"/>
      <c r="E2" s="360"/>
    </row>
    <row r="3" spans="1:9" s="247" customFormat="1" ht="20.100000000000001" customHeight="1" x14ac:dyDescent="0.25">
      <c r="A3" s="316" t="s">
        <v>466</v>
      </c>
      <c r="B3" s="317"/>
      <c r="C3" s="318"/>
      <c r="D3" s="319"/>
      <c r="E3" s="327">
        <f>SUM(E4:E8)</f>
        <v>0</v>
      </c>
    </row>
    <row r="4" spans="1:9" s="249" customFormat="1" ht="20.100000000000001" customHeight="1" x14ac:dyDescent="0.25">
      <c r="A4" s="291" t="s">
        <v>425</v>
      </c>
      <c r="B4" s="260"/>
      <c r="C4" s="261"/>
      <c r="D4" s="314" t="s">
        <v>426</v>
      </c>
      <c r="E4" s="328">
        <f>B4*C4</f>
        <v>0</v>
      </c>
      <c r="F4" s="312"/>
      <c r="I4" s="313"/>
    </row>
    <row r="5" spans="1:9" s="249" customFormat="1" ht="20.100000000000001" customHeight="1" x14ac:dyDescent="0.25">
      <c r="A5" s="291" t="s">
        <v>427</v>
      </c>
      <c r="B5" s="260"/>
      <c r="C5" s="261"/>
      <c r="D5" s="314" t="s">
        <v>426</v>
      </c>
      <c r="E5" s="328">
        <f>B5*C5</f>
        <v>0</v>
      </c>
      <c r="F5" s="248"/>
    </row>
    <row r="6" spans="1:9" s="249" customFormat="1" ht="20.100000000000001" customHeight="1" x14ac:dyDescent="0.25">
      <c r="A6" s="291" t="s">
        <v>428</v>
      </c>
      <c r="B6" s="260"/>
      <c r="C6" s="261"/>
      <c r="D6" s="314" t="s">
        <v>426</v>
      </c>
      <c r="E6" s="328">
        <f>B6*C6</f>
        <v>0</v>
      </c>
    </row>
    <row r="7" spans="1:9" s="249" customFormat="1" ht="20.100000000000001" customHeight="1" x14ac:dyDescent="0.25">
      <c r="A7" s="291" t="s">
        <v>451</v>
      </c>
      <c r="B7" s="260"/>
      <c r="C7" s="261"/>
      <c r="D7" s="314" t="s">
        <v>426</v>
      </c>
      <c r="E7" s="328">
        <f>B7*C7</f>
        <v>0</v>
      </c>
    </row>
    <row r="8" spans="1:9" s="249" customFormat="1" ht="20.100000000000001" customHeight="1" x14ac:dyDescent="0.25">
      <c r="A8" s="291"/>
      <c r="B8" s="260"/>
      <c r="C8" s="261"/>
      <c r="D8" s="250"/>
      <c r="E8" s="329"/>
    </row>
    <row r="9" spans="1:9" s="247" customFormat="1" ht="20.100000000000001" customHeight="1" x14ac:dyDescent="0.25">
      <c r="A9" s="320" t="s">
        <v>429</v>
      </c>
      <c r="B9" s="321"/>
      <c r="C9" s="322"/>
      <c r="D9" s="323"/>
      <c r="E9" s="330">
        <f>SUM(E10:E19)</f>
        <v>0</v>
      </c>
    </row>
    <row r="10" spans="1:9" s="249" customFormat="1" ht="20.100000000000001" customHeight="1" x14ac:dyDescent="0.25">
      <c r="A10" s="291" t="s">
        <v>467</v>
      </c>
      <c r="B10" s="260"/>
      <c r="C10" s="262"/>
      <c r="D10" s="314" t="s">
        <v>426</v>
      </c>
      <c r="E10" s="328">
        <f t="shared" ref="E10:E18" si="0">B10*C10</f>
        <v>0</v>
      </c>
    </row>
    <row r="11" spans="1:9" s="249" customFormat="1" ht="20.100000000000001" customHeight="1" x14ac:dyDescent="0.25">
      <c r="A11" s="291" t="s">
        <v>430</v>
      </c>
      <c r="B11" s="260"/>
      <c r="C11" s="262"/>
      <c r="D11" s="314" t="s">
        <v>426</v>
      </c>
      <c r="E11" s="328">
        <f t="shared" si="0"/>
        <v>0</v>
      </c>
    </row>
    <row r="12" spans="1:9" s="249" customFormat="1" ht="20.100000000000001" customHeight="1" x14ac:dyDescent="0.25">
      <c r="A12" s="291" t="s">
        <v>469</v>
      </c>
      <c r="B12" s="260"/>
      <c r="C12" s="262"/>
      <c r="D12" s="314" t="s">
        <v>426</v>
      </c>
      <c r="E12" s="328">
        <f t="shared" si="0"/>
        <v>0</v>
      </c>
    </row>
    <row r="13" spans="1:9" s="249" customFormat="1" ht="20.100000000000001" customHeight="1" x14ac:dyDescent="0.25">
      <c r="A13" s="291" t="s">
        <v>431</v>
      </c>
      <c r="B13" s="260"/>
      <c r="C13" s="262"/>
      <c r="D13" s="314" t="s">
        <v>426</v>
      </c>
      <c r="E13" s="328">
        <f t="shared" si="0"/>
        <v>0</v>
      </c>
    </row>
    <row r="14" spans="1:9" s="249" customFormat="1" ht="20.100000000000001" customHeight="1" x14ac:dyDescent="0.25">
      <c r="A14" s="291" t="s">
        <v>451</v>
      </c>
      <c r="B14" s="260"/>
      <c r="C14" s="262"/>
      <c r="D14" s="314" t="s">
        <v>426</v>
      </c>
      <c r="E14" s="328">
        <f t="shared" si="0"/>
        <v>0</v>
      </c>
    </row>
    <row r="15" spans="1:9" s="249" customFormat="1" ht="20.100000000000001" customHeight="1" x14ac:dyDescent="0.25">
      <c r="A15" s="315" t="s">
        <v>432</v>
      </c>
      <c r="B15" s="260"/>
      <c r="C15" s="262"/>
      <c r="D15" s="314" t="s">
        <v>433</v>
      </c>
      <c r="E15" s="328">
        <f t="shared" si="0"/>
        <v>0</v>
      </c>
    </row>
    <row r="16" spans="1:9" s="249" customFormat="1" ht="20.100000000000001" customHeight="1" x14ac:dyDescent="0.25">
      <c r="A16" s="315" t="s">
        <v>434</v>
      </c>
      <c r="B16" s="260"/>
      <c r="C16" s="262"/>
      <c r="D16" s="314" t="s">
        <v>452</v>
      </c>
      <c r="E16" s="328">
        <f t="shared" si="0"/>
        <v>0</v>
      </c>
    </row>
    <row r="17" spans="1:5" s="249" customFormat="1" ht="20.100000000000001" customHeight="1" x14ac:dyDescent="0.25">
      <c r="A17" s="315" t="s">
        <v>435</v>
      </c>
      <c r="B17" s="260"/>
      <c r="C17" s="262"/>
      <c r="D17" s="314" t="s">
        <v>433</v>
      </c>
      <c r="E17" s="328">
        <f t="shared" si="0"/>
        <v>0</v>
      </c>
    </row>
    <row r="18" spans="1:5" s="249" customFormat="1" ht="20.100000000000001" customHeight="1" x14ac:dyDescent="0.25">
      <c r="A18" s="315" t="s">
        <v>436</v>
      </c>
      <c r="B18" s="260"/>
      <c r="C18" s="262"/>
      <c r="D18" s="314" t="s">
        <v>452</v>
      </c>
      <c r="E18" s="328">
        <f t="shared" si="0"/>
        <v>0</v>
      </c>
    </row>
    <row r="19" spans="1:5" s="249" customFormat="1" ht="20.100000000000001" customHeight="1" x14ac:dyDescent="0.25">
      <c r="A19" s="291" t="s">
        <v>451</v>
      </c>
      <c r="B19" s="260"/>
      <c r="C19" s="262"/>
      <c r="D19" s="251"/>
      <c r="E19" s="328"/>
    </row>
    <row r="20" spans="1:5" s="249" customFormat="1" ht="20.100000000000001" customHeight="1" x14ac:dyDescent="0.25">
      <c r="A20" s="324" t="s">
        <v>470</v>
      </c>
      <c r="B20" s="325"/>
      <c r="C20" s="326"/>
      <c r="D20" s="307"/>
      <c r="E20" s="330">
        <f>SUM(E21:E22)</f>
        <v>0</v>
      </c>
    </row>
    <row r="21" spans="1:5" s="249" customFormat="1" ht="20.100000000000001" customHeight="1" x14ac:dyDescent="0.25">
      <c r="A21" s="291" t="s">
        <v>468</v>
      </c>
      <c r="B21" s="260"/>
      <c r="C21" s="263"/>
      <c r="D21" s="314" t="s">
        <v>426</v>
      </c>
      <c r="E21" s="328">
        <f>B21*C21</f>
        <v>0</v>
      </c>
    </row>
    <row r="22" spans="1:5" s="249" customFormat="1" ht="20.100000000000001" customHeight="1" x14ac:dyDescent="0.25">
      <c r="A22" s="291" t="s">
        <v>451</v>
      </c>
      <c r="B22" s="260"/>
      <c r="C22" s="262"/>
      <c r="D22" s="251"/>
      <c r="E22" s="328"/>
    </row>
    <row r="23" spans="1:5" s="249" customFormat="1" ht="20.100000000000001" customHeight="1" x14ac:dyDescent="0.25">
      <c r="A23" s="324" t="s">
        <v>437</v>
      </c>
      <c r="B23" s="325"/>
      <c r="C23" s="326"/>
      <c r="D23" s="307"/>
      <c r="E23" s="330">
        <f>SUM(E24:E35)</f>
        <v>0</v>
      </c>
    </row>
    <row r="24" spans="1:5" s="249" customFormat="1" ht="20.100000000000001" customHeight="1" x14ac:dyDescent="0.25">
      <c r="A24" s="291" t="s">
        <v>438</v>
      </c>
      <c r="B24" s="260"/>
      <c r="C24" s="262"/>
      <c r="D24" s="314" t="s">
        <v>426</v>
      </c>
      <c r="E24" s="328">
        <f t="shared" ref="E24:E34" si="1">B24*C24</f>
        <v>0</v>
      </c>
    </row>
    <row r="25" spans="1:5" s="249" customFormat="1" ht="20.100000000000001" customHeight="1" x14ac:dyDescent="0.25">
      <c r="A25" s="291" t="s">
        <v>439</v>
      </c>
      <c r="B25" s="260"/>
      <c r="C25" s="262"/>
      <c r="D25" s="314" t="s">
        <v>426</v>
      </c>
      <c r="E25" s="328">
        <f t="shared" si="1"/>
        <v>0</v>
      </c>
    </row>
    <row r="26" spans="1:5" s="249" customFormat="1" ht="20.100000000000001" customHeight="1" x14ac:dyDescent="0.25">
      <c r="A26" s="291" t="s">
        <v>440</v>
      </c>
      <c r="B26" s="260"/>
      <c r="C26" s="262"/>
      <c r="D26" s="314" t="s">
        <v>433</v>
      </c>
      <c r="E26" s="328">
        <f t="shared" si="1"/>
        <v>0</v>
      </c>
    </row>
    <row r="27" spans="1:5" s="249" customFormat="1" ht="20.100000000000001" customHeight="1" x14ac:dyDescent="0.25">
      <c r="A27" s="291" t="s">
        <v>441</v>
      </c>
      <c r="B27" s="260"/>
      <c r="C27" s="262"/>
      <c r="D27" s="314" t="s">
        <v>433</v>
      </c>
      <c r="E27" s="328">
        <f t="shared" si="1"/>
        <v>0</v>
      </c>
    </row>
    <row r="28" spans="1:5" s="249" customFormat="1" ht="20.100000000000001" customHeight="1" x14ac:dyDescent="0.25">
      <c r="A28" s="291" t="s">
        <v>442</v>
      </c>
      <c r="B28" s="260"/>
      <c r="C28" s="262"/>
      <c r="D28" s="314" t="s">
        <v>433</v>
      </c>
      <c r="E28" s="328">
        <f t="shared" si="1"/>
        <v>0</v>
      </c>
    </row>
    <row r="29" spans="1:5" s="249" customFormat="1" ht="20.100000000000001" customHeight="1" x14ac:dyDescent="0.25">
      <c r="A29" s="291" t="s">
        <v>443</v>
      </c>
      <c r="B29" s="260"/>
      <c r="C29" s="262"/>
      <c r="D29" s="314" t="s">
        <v>433</v>
      </c>
      <c r="E29" s="328">
        <f t="shared" si="1"/>
        <v>0</v>
      </c>
    </row>
    <row r="30" spans="1:5" s="249" customFormat="1" ht="20.100000000000001" customHeight="1" x14ac:dyDescent="0.25">
      <c r="A30" s="315" t="s">
        <v>444</v>
      </c>
      <c r="B30" s="260"/>
      <c r="C30" s="262"/>
      <c r="D30" s="314" t="s">
        <v>452</v>
      </c>
      <c r="E30" s="328">
        <f t="shared" si="1"/>
        <v>0</v>
      </c>
    </row>
    <row r="31" spans="1:5" s="249" customFormat="1" ht="20.100000000000001" customHeight="1" x14ac:dyDescent="0.25">
      <c r="A31" s="291" t="s">
        <v>445</v>
      </c>
      <c r="B31" s="260"/>
      <c r="C31" s="262"/>
      <c r="D31" s="314" t="s">
        <v>452</v>
      </c>
      <c r="E31" s="328">
        <f t="shared" si="1"/>
        <v>0</v>
      </c>
    </row>
    <row r="32" spans="1:5" s="249" customFormat="1" ht="20.100000000000001" customHeight="1" x14ac:dyDescent="0.25">
      <c r="A32" s="291" t="s">
        <v>446</v>
      </c>
      <c r="B32" s="260"/>
      <c r="C32" s="262"/>
      <c r="D32" s="314" t="s">
        <v>452</v>
      </c>
      <c r="E32" s="328">
        <f t="shared" si="1"/>
        <v>0</v>
      </c>
    </row>
    <row r="33" spans="1:7" s="249" customFormat="1" ht="20.100000000000001" customHeight="1" x14ac:dyDescent="0.25">
      <c r="A33" s="291" t="s">
        <v>447</v>
      </c>
      <c r="B33" s="260"/>
      <c r="C33" s="262"/>
      <c r="D33" s="314" t="s">
        <v>452</v>
      </c>
      <c r="E33" s="328">
        <f t="shared" si="1"/>
        <v>0</v>
      </c>
    </row>
    <row r="34" spans="1:7" s="249" customFormat="1" ht="20.100000000000001" customHeight="1" x14ac:dyDescent="0.25">
      <c r="A34" s="315" t="s">
        <v>448</v>
      </c>
      <c r="B34" s="260"/>
      <c r="C34" s="262"/>
      <c r="D34" s="314" t="s">
        <v>452</v>
      </c>
      <c r="E34" s="328">
        <f t="shared" si="1"/>
        <v>0</v>
      </c>
    </row>
    <row r="35" spans="1:7" s="249" customFormat="1" ht="20.100000000000001" customHeight="1" x14ac:dyDescent="0.25">
      <c r="A35" s="291" t="s">
        <v>451</v>
      </c>
      <c r="B35" s="260"/>
      <c r="C35" s="262"/>
      <c r="D35" s="252"/>
      <c r="E35" s="331"/>
    </row>
    <row r="36" spans="1:7" s="249" customFormat="1" ht="20.100000000000001" customHeight="1" x14ac:dyDescent="0.25">
      <c r="A36" s="281" t="s">
        <v>422</v>
      </c>
      <c r="B36" s="282"/>
      <c r="C36" s="283"/>
      <c r="D36" s="284"/>
      <c r="E36" s="332">
        <f>SUM(E23+E20+E9+E3)</f>
        <v>0</v>
      </c>
    </row>
    <row r="37" spans="1:7" ht="15" customHeight="1" x14ac:dyDescent="0.25">
      <c r="A37" s="253" t="s">
        <v>460</v>
      </c>
      <c r="G37" s="249"/>
    </row>
    <row r="38" spans="1:7" ht="15" customHeight="1" x14ac:dyDescent="0.25">
      <c r="A38" s="253" t="s">
        <v>461</v>
      </c>
    </row>
    <row r="39" spans="1:7" ht="15" customHeight="1" x14ac:dyDescent="0.25">
      <c r="A39" s="253" t="s">
        <v>462</v>
      </c>
    </row>
    <row r="40" spans="1:7" ht="15" customHeight="1" x14ac:dyDescent="0.25">
      <c r="A40" s="253" t="s">
        <v>465</v>
      </c>
    </row>
    <row r="41" spans="1:7" ht="15" customHeight="1" x14ac:dyDescent="0.25"/>
    <row r="42" spans="1:7" ht="15" customHeight="1" x14ac:dyDescent="0.25"/>
    <row r="43" spans="1:7" ht="15" customHeight="1" x14ac:dyDescent="0.25">
      <c r="D43" s="308" t="s">
        <v>453</v>
      </c>
    </row>
    <row r="44" spans="1:7" ht="15" customHeight="1" x14ac:dyDescent="0.25">
      <c r="D44" s="309"/>
    </row>
    <row r="45" spans="1:7" ht="15" customHeight="1" x14ac:dyDescent="0.25">
      <c r="D45" s="309" t="s">
        <v>433</v>
      </c>
    </row>
    <row r="46" spans="1:7" ht="15" customHeight="1" x14ac:dyDescent="0.25">
      <c r="D46" s="310" t="s">
        <v>452</v>
      </c>
    </row>
    <row r="47" spans="1:7" ht="15" customHeight="1" x14ac:dyDescent="0.25">
      <c r="D47" s="309" t="s">
        <v>426</v>
      </c>
    </row>
    <row r="48" spans="1:7" ht="15" customHeight="1" x14ac:dyDescent="0.25">
      <c r="D48" s="311" t="s">
        <v>303</v>
      </c>
    </row>
  </sheetData>
  <sheetProtection sheet="1" formatCells="0" insertRows="0"/>
  <mergeCells count="4">
    <mergeCell ref="A1:A2"/>
    <mergeCell ref="B1:B2"/>
    <mergeCell ref="C1:D2"/>
    <mergeCell ref="E1:E2"/>
  </mergeCells>
  <dataValidations count="1">
    <dataValidation type="list" allowBlank="1" showInputMessage="1" showErrorMessage="1" sqref="D4:D7 D10:D18 D24:D34 D21" xr:uid="{D8A840A4-C468-462E-875B-77F972BA8EC6}">
      <formula1>$D$44:$D$48</formula1>
    </dataValidation>
  </dataValidations>
  <pageMargins left="0.39370078740157483" right="0.39370078740157483" top="0.39370078740157483" bottom="0.39370078740157483" header="0.51181102362204722" footer="0.51181102362204722"/>
  <pageSetup paperSize="9" scale="81" fitToWidth="0" fitToHeight="0" orientation="portrait" r:id="rId1"/>
  <headerFooter alignWithMargins="0">
    <oddHeader>&amp;C&amp;"Arial,Gras"&amp;12Budget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F64C-CEE0-4471-8FE4-E3723D8503DB}">
  <dimension ref="A1:K35"/>
  <sheetViews>
    <sheetView zoomScale="200" zoomScaleNormal="200" workbookViewId="0">
      <selection activeCell="B2" sqref="B2"/>
    </sheetView>
  </sheetViews>
  <sheetFormatPr baseColWidth="10" defaultRowHeight="15" customHeight="1" x14ac:dyDescent="0.25"/>
  <cols>
    <col min="1" max="16384" width="11.42578125" style="218"/>
  </cols>
  <sheetData>
    <row r="1" spans="2:11" ht="15" customHeight="1" x14ac:dyDescent="0.25">
      <c r="E1" s="219"/>
      <c r="F1" s="219"/>
      <c r="G1" s="219"/>
      <c r="H1" s="219"/>
      <c r="I1" s="220"/>
    </row>
    <row r="2" spans="2:11" ht="15" customHeight="1" x14ac:dyDescent="0.25">
      <c r="B2" s="242" t="s">
        <v>392</v>
      </c>
      <c r="C2" s="336"/>
      <c r="D2" s="336"/>
      <c r="E2" s="336"/>
      <c r="F2" s="222" t="s">
        <v>7</v>
      </c>
      <c r="G2" s="222" t="s">
        <v>62</v>
      </c>
      <c r="H2" s="222" t="s">
        <v>62</v>
      </c>
    </row>
    <row r="3" spans="2:11" ht="15" customHeight="1" x14ac:dyDescent="0.25">
      <c r="B3" s="337" t="s">
        <v>379</v>
      </c>
      <c r="C3" s="338" t="s">
        <v>382</v>
      </c>
      <c r="D3" s="338" t="s">
        <v>383</v>
      </c>
      <c r="E3" s="339" t="s">
        <v>387</v>
      </c>
      <c r="F3" s="339" t="s">
        <v>382</v>
      </c>
      <c r="G3" s="339" t="s">
        <v>382</v>
      </c>
      <c r="H3" s="339" t="s">
        <v>383</v>
      </c>
      <c r="I3" s="339" t="s">
        <v>6</v>
      </c>
    </row>
    <row r="4" spans="2:11" ht="15" customHeight="1" x14ac:dyDescent="0.25">
      <c r="B4" s="225" t="s">
        <v>54</v>
      </c>
      <c r="C4" s="226" t="s">
        <v>384</v>
      </c>
      <c r="D4" s="226"/>
      <c r="E4" s="227">
        <f>Budget!$E$3</f>
        <v>0</v>
      </c>
      <c r="F4" s="216"/>
      <c r="G4" s="216"/>
      <c r="H4" s="217"/>
      <c r="I4" s="217">
        <f>E4-F4-G4-H4</f>
        <v>0</v>
      </c>
    </row>
    <row r="5" spans="2:11" ht="15" customHeight="1" x14ac:dyDescent="0.25">
      <c r="B5" s="225" t="s">
        <v>202</v>
      </c>
      <c r="C5" s="226" t="s">
        <v>384</v>
      </c>
      <c r="D5" s="226"/>
      <c r="E5" s="227">
        <f>Budget!$E$9</f>
        <v>0</v>
      </c>
      <c r="F5" s="216"/>
      <c r="G5" s="216"/>
      <c r="H5" s="217"/>
      <c r="I5" s="217">
        <f>E5-F5-G5-H5</f>
        <v>0</v>
      </c>
      <c r="K5" s="217"/>
    </row>
    <row r="6" spans="2:11" ht="15" customHeight="1" x14ac:dyDescent="0.25">
      <c r="B6" s="225" t="s">
        <v>380</v>
      </c>
      <c r="C6" s="226"/>
      <c r="D6" s="226" t="s">
        <v>384</v>
      </c>
      <c r="E6" s="227">
        <f>Budget!$E$20</f>
        <v>0</v>
      </c>
      <c r="F6" s="217"/>
      <c r="G6" s="217"/>
      <c r="H6" s="217" t="str">
        <f>IF(E6=0,"",E6)</f>
        <v/>
      </c>
      <c r="I6" s="217">
        <f>IF(E6=0,0,E6-F6-G6-H6)</f>
        <v>0</v>
      </c>
      <c r="K6" s="217"/>
    </row>
    <row r="7" spans="2:11" ht="15" customHeight="1" x14ac:dyDescent="0.25">
      <c r="B7" s="225" t="s">
        <v>381</v>
      </c>
      <c r="C7" s="226" t="s">
        <v>384</v>
      </c>
      <c r="D7" s="226"/>
      <c r="E7" s="227">
        <f>Budget!$E$23</f>
        <v>0</v>
      </c>
      <c r="F7" s="216"/>
      <c r="G7" s="216"/>
      <c r="H7" s="217"/>
      <c r="I7" s="217">
        <f>E7-F7-G7-H7</f>
        <v>0</v>
      </c>
      <c r="K7" s="217"/>
    </row>
    <row r="8" spans="2:11" ht="15" customHeight="1" x14ac:dyDescent="0.25">
      <c r="B8" s="228" t="s">
        <v>388</v>
      </c>
      <c r="C8" s="229"/>
      <c r="D8" s="229"/>
      <c r="E8" s="230">
        <f>SUM(E4:E7)</f>
        <v>0</v>
      </c>
      <c r="F8" s="230">
        <f t="shared" ref="F8:I8" si="0">SUM(F4:F7)</f>
        <v>0</v>
      </c>
      <c r="G8" s="230">
        <f t="shared" si="0"/>
        <v>0</v>
      </c>
      <c r="H8" s="230">
        <f t="shared" si="0"/>
        <v>0</v>
      </c>
      <c r="I8" s="230">
        <f t="shared" si="0"/>
        <v>0</v>
      </c>
      <c r="K8" s="217"/>
    </row>
    <row r="9" spans="2:11" ht="15" customHeight="1" x14ac:dyDescent="0.25">
      <c r="B9" s="231" t="s">
        <v>389</v>
      </c>
      <c r="C9" s="232"/>
      <c r="D9" s="232"/>
      <c r="E9" s="233">
        <f>IF($E$8=0,0,E8/$E$8)</f>
        <v>0</v>
      </c>
      <c r="F9" s="233">
        <f>IF($E$8=0,0,F8/$E$8)</f>
        <v>0</v>
      </c>
      <c r="G9" s="233">
        <f t="shared" ref="G9:H9" si="1">IF($E$8=0,0,G8/$E$8)</f>
        <v>0</v>
      </c>
      <c r="H9" s="233">
        <f t="shared" si="1"/>
        <v>0</v>
      </c>
      <c r="I9" s="234"/>
      <c r="J9" s="227"/>
    </row>
    <row r="10" spans="2:11" ht="15" customHeight="1" x14ac:dyDescent="0.25">
      <c r="B10" s="223" t="s">
        <v>400</v>
      </c>
      <c r="C10" s="223"/>
      <c r="D10" s="223"/>
      <c r="E10" s="223"/>
      <c r="F10" s="243">
        <f>IF(F4+F7-G5&gt;0,F4+F7-G5,0)</f>
        <v>0</v>
      </c>
      <c r="G10" s="243">
        <f>IF(G5-F4-F7&gt;0,G5-F4-F7,0)</f>
        <v>0</v>
      </c>
      <c r="H10" s="223"/>
      <c r="I10" s="223"/>
      <c r="J10" s="227"/>
    </row>
    <row r="11" spans="2:11" ht="15" customHeight="1" x14ac:dyDescent="0.25">
      <c r="E11" s="227"/>
      <c r="F11" s="227"/>
      <c r="G11" s="227"/>
      <c r="H11" s="227"/>
      <c r="I11" s="227"/>
      <c r="J11" s="227"/>
    </row>
    <row r="12" spans="2:11" ht="15" customHeight="1" x14ac:dyDescent="0.25">
      <c r="E12" s="336"/>
      <c r="F12" s="222" t="s">
        <v>7</v>
      </c>
      <c r="G12" s="222" t="s">
        <v>62</v>
      </c>
      <c r="H12" s="222" t="s">
        <v>62</v>
      </c>
      <c r="I12" s="227"/>
      <c r="J12" s="227"/>
    </row>
    <row r="13" spans="2:11" ht="15" customHeight="1" x14ac:dyDescent="0.25">
      <c r="E13" s="224" t="s">
        <v>385</v>
      </c>
      <c r="F13" s="224" t="s">
        <v>385</v>
      </c>
      <c r="G13" s="224" t="s">
        <v>386</v>
      </c>
      <c r="H13" s="224" t="s">
        <v>385</v>
      </c>
      <c r="I13" s="227"/>
      <c r="K13" s="226"/>
    </row>
    <row r="14" spans="2:11" ht="15" customHeight="1" x14ac:dyDescent="0.25">
      <c r="C14" s="216"/>
      <c r="E14" s="230">
        <f>E8</f>
        <v>0</v>
      </c>
      <c r="F14" s="230">
        <f>IF($E$14*F16&gt;39000,39000,$E$14*F16)</f>
        <v>0</v>
      </c>
      <c r="G14" s="230">
        <f>IF(F14&lt;39000,$E$14*G16,Budget!$E$36-F14-H14)</f>
        <v>0</v>
      </c>
      <c r="H14" s="230">
        <f>$E$14*H16</f>
        <v>0</v>
      </c>
      <c r="I14" s="227"/>
    </row>
    <row r="15" spans="2:11" ht="15" customHeight="1" x14ac:dyDescent="0.25">
      <c r="C15" s="216"/>
      <c r="E15" s="233">
        <f>F15+G15+H15</f>
        <v>0</v>
      </c>
      <c r="F15" s="233">
        <f>IF($E$14=0,0,F14/$E$14)</f>
        <v>0</v>
      </c>
      <c r="G15" s="233">
        <f>IF($E$14=0,0,G14/$E$14)</f>
        <v>0</v>
      </c>
      <c r="H15" s="233">
        <f>IF($E$14=0,0,H14/$E$14)</f>
        <v>0</v>
      </c>
      <c r="I15" s="227"/>
    </row>
    <row r="16" spans="2:11" ht="15" hidden="1" customHeight="1" x14ac:dyDescent="0.25">
      <c r="E16" s="233">
        <f>F16+G16+H16</f>
        <v>1</v>
      </c>
      <c r="F16" s="233">
        <v>0.65</v>
      </c>
      <c r="G16" s="233">
        <v>0.1</v>
      </c>
      <c r="H16" s="233">
        <v>0.25</v>
      </c>
      <c r="I16" s="227"/>
      <c r="J16" s="235"/>
    </row>
    <row r="17" spans="2:9" ht="15" customHeight="1" x14ac:dyDescent="0.25">
      <c r="I17" s="227"/>
    </row>
    <row r="18" spans="2:9" ht="15" customHeight="1" x14ac:dyDescent="0.25">
      <c r="B18" s="236" t="s">
        <v>390</v>
      </c>
      <c r="C18" s="236"/>
      <c r="D18" s="237"/>
      <c r="E18" s="237"/>
      <c r="F18" s="237"/>
      <c r="G18" s="237"/>
      <c r="H18" s="237"/>
      <c r="I18" s="237"/>
    </row>
    <row r="19" spans="2:9" ht="15" customHeight="1" x14ac:dyDescent="0.25">
      <c r="B19" s="238" t="s">
        <v>391</v>
      </c>
      <c r="C19" s="238"/>
      <c r="D19" s="239"/>
      <c r="E19" s="239"/>
      <c r="F19" s="239"/>
      <c r="G19" s="239"/>
      <c r="H19" s="239"/>
      <c r="I19" s="239"/>
    </row>
    <row r="22" spans="2:9" ht="15" customHeight="1" x14ac:dyDescent="0.25">
      <c r="B22" s="221" t="s">
        <v>402</v>
      </c>
    </row>
    <row r="23" spans="2:9" ht="15" customHeight="1" x14ac:dyDescent="0.25">
      <c r="B23" s="223" t="s">
        <v>398</v>
      </c>
      <c r="C23" s="224"/>
      <c r="D23" s="224" t="s">
        <v>393</v>
      </c>
      <c r="E23" s="224" t="s">
        <v>394</v>
      </c>
      <c r="F23" s="224" t="s">
        <v>395</v>
      </c>
      <c r="G23" s="224" t="s">
        <v>396</v>
      </c>
      <c r="H23" s="224" t="s">
        <v>397</v>
      </c>
      <c r="I23" s="224" t="s">
        <v>6</v>
      </c>
    </row>
    <row r="24" spans="2:9" ht="15" customHeight="1" x14ac:dyDescent="0.25">
      <c r="B24" s="225" t="s">
        <v>54</v>
      </c>
      <c r="C24" s="227">
        <f>F4</f>
        <v>0</v>
      </c>
      <c r="D24" s="216"/>
      <c r="E24" s="216"/>
      <c r="F24" s="216"/>
      <c r="G24" s="216"/>
      <c r="H24" s="216"/>
      <c r="I24" s="217">
        <f>C24-D24-E24-F24-G24-H24</f>
        <v>0</v>
      </c>
    </row>
    <row r="25" spans="2:9" ht="15" customHeight="1" x14ac:dyDescent="0.25">
      <c r="B25" s="225" t="s">
        <v>381</v>
      </c>
      <c r="C25" s="227">
        <f>F7</f>
        <v>0</v>
      </c>
      <c r="D25" s="216"/>
      <c r="E25" s="216"/>
      <c r="F25" s="216"/>
      <c r="G25" s="216"/>
      <c r="H25" s="216"/>
      <c r="I25" s="217">
        <f>C25-D25-E25-F25-G25-H25</f>
        <v>0</v>
      </c>
    </row>
    <row r="26" spans="2:9" ht="15" customHeight="1" x14ac:dyDescent="0.25">
      <c r="B26" s="228" t="s">
        <v>388</v>
      </c>
      <c r="C26" s="230">
        <f t="shared" ref="C26:I26" si="2">SUM(C24:C25)</f>
        <v>0</v>
      </c>
      <c r="D26" s="230">
        <f t="shared" si="2"/>
        <v>0</v>
      </c>
      <c r="E26" s="230">
        <f t="shared" si="2"/>
        <v>0</v>
      </c>
      <c r="F26" s="230">
        <f t="shared" si="2"/>
        <v>0</v>
      </c>
      <c r="G26" s="230">
        <f t="shared" si="2"/>
        <v>0</v>
      </c>
      <c r="H26" s="230">
        <f t="shared" si="2"/>
        <v>0</v>
      </c>
      <c r="I26" s="341">
        <f t="shared" si="2"/>
        <v>0</v>
      </c>
    </row>
    <row r="27" spans="2:9" ht="15" customHeight="1" x14ac:dyDescent="0.25">
      <c r="B27" s="223" t="s">
        <v>399</v>
      </c>
      <c r="C27" s="224"/>
      <c r="D27" s="224" t="s">
        <v>393</v>
      </c>
      <c r="E27" s="224" t="s">
        <v>394</v>
      </c>
      <c r="F27" s="224" t="s">
        <v>395</v>
      </c>
      <c r="G27" s="224" t="s">
        <v>396</v>
      </c>
      <c r="H27" s="224" t="s">
        <v>397</v>
      </c>
      <c r="I27" s="224" t="s">
        <v>6</v>
      </c>
    </row>
    <row r="28" spans="2:9" ht="15" customHeight="1" x14ac:dyDescent="0.25">
      <c r="B28" s="225" t="s">
        <v>202</v>
      </c>
      <c r="C28" s="227">
        <f>G5</f>
        <v>0</v>
      </c>
      <c r="D28" s="216"/>
      <c r="E28" s="216"/>
      <c r="F28" s="216"/>
      <c r="G28" s="216"/>
      <c r="H28" s="216"/>
      <c r="I28" s="217">
        <f>C28-D28-E28-F28-G28-H28</f>
        <v>0</v>
      </c>
    </row>
    <row r="29" spans="2:9" ht="15" customHeight="1" x14ac:dyDescent="0.25">
      <c r="B29" s="228" t="s">
        <v>388</v>
      </c>
      <c r="C29" s="230">
        <f t="shared" ref="C29:I29" si="3">SUM(C28:C28)</f>
        <v>0</v>
      </c>
      <c r="D29" s="230">
        <f t="shared" si="3"/>
        <v>0</v>
      </c>
      <c r="E29" s="230">
        <f t="shared" si="3"/>
        <v>0</v>
      </c>
      <c r="F29" s="230">
        <f t="shared" si="3"/>
        <v>0</v>
      </c>
      <c r="G29" s="230">
        <f t="shared" si="3"/>
        <v>0</v>
      </c>
      <c r="H29" s="230">
        <f t="shared" si="3"/>
        <v>0</v>
      </c>
      <c r="I29" s="230">
        <f t="shared" si="3"/>
        <v>0</v>
      </c>
    </row>
    <row r="30" spans="2:9" ht="15" customHeight="1" x14ac:dyDescent="0.25">
      <c r="B30" s="242" t="s">
        <v>401</v>
      </c>
      <c r="C30" s="243">
        <f t="shared" ref="C30:H30" si="4">C26-C29</f>
        <v>0</v>
      </c>
      <c r="D30" s="243">
        <f t="shared" si="4"/>
        <v>0</v>
      </c>
      <c r="E30" s="243">
        <f t="shared" si="4"/>
        <v>0</v>
      </c>
      <c r="F30" s="243">
        <f t="shared" si="4"/>
        <v>0</v>
      </c>
      <c r="G30" s="243">
        <f t="shared" si="4"/>
        <v>0</v>
      </c>
      <c r="H30" s="243">
        <f t="shared" si="4"/>
        <v>0</v>
      </c>
      <c r="I30" s="243">
        <f>C30-D30-E30-F30-G30-H30</f>
        <v>0</v>
      </c>
    </row>
    <row r="32" spans="2:9" ht="15" customHeight="1" x14ac:dyDescent="0.25">
      <c r="C32" s="240"/>
      <c r="E32" s="240"/>
      <c r="F32" s="240"/>
      <c r="G32" s="240"/>
      <c r="H32" s="240"/>
    </row>
    <row r="33" spans="1:9" ht="15" customHeight="1" x14ac:dyDescent="0.25">
      <c r="C33" s="240"/>
      <c r="E33" s="240"/>
      <c r="F33" s="240"/>
      <c r="G33" s="240"/>
      <c r="H33" s="240"/>
      <c r="I33" s="240"/>
    </row>
    <row r="34" spans="1:9" ht="15" customHeight="1" x14ac:dyDescent="0.25">
      <c r="E34" s="240"/>
      <c r="I34" s="240"/>
    </row>
    <row r="35" spans="1:9" ht="15" customHeight="1" x14ac:dyDescent="0.25">
      <c r="A35" s="241"/>
      <c r="B35" s="241"/>
      <c r="D35" s="241"/>
    </row>
  </sheetData>
  <sheetProtection sheet="1" objects="1" scenarios="1"/>
  <phoneticPr fontId="64" type="noConversion"/>
  <conditionalFormatting sqref="C26">
    <cfRule type="cellIs" dxfId="18" priority="21" operator="greaterThan">
      <formula>$E$14</formula>
    </cfRule>
  </conditionalFormatting>
  <conditionalFormatting sqref="C28">
    <cfRule type="containsBlanks" dxfId="17" priority="15">
      <formula>LEN(TRIM(C28))=0</formula>
    </cfRule>
  </conditionalFormatting>
  <conditionalFormatting sqref="C29">
    <cfRule type="cellIs" dxfId="16" priority="9" operator="greaterThan">
      <formula>$E$14</formula>
    </cfRule>
  </conditionalFormatting>
  <conditionalFormatting sqref="C30:H30">
    <cfRule type="cellIs" dxfId="15" priority="3" operator="greaterThan">
      <formula>$E$14</formula>
    </cfRule>
  </conditionalFormatting>
  <conditionalFormatting sqref="C30:I30">
    <cfRule type="cellIs" dxfId="14" priority="1" operator="lessThan">
      <formula>0</formula>
    </cfRule>
    <cfRule type="cellIs" dxfId="13" priority="2" operator="greaterThan">
      <formula>0</formula>
    </cfRule>
  </conditionalFormatting>
  <conditionalFormatting sqref="D24:H25">
    <cfRule type="containsBlanks" dxfId="12" priority="16">
      <formula>LEN(TRIM(D24))=0</formula>
    </cfRule>
  </conditionalFormatting>
  <conditionalFormatting sqref="D28:H28">
    <cfRule type="containsBlanks" dxfId="11" priority="6">
      <formula>LEN(TRIM(D28))=0</formula>
    </cfRule>
  </conditionalFormatting>
  <conditionalFormatting sqref="E4:E7 C24:C25">
    <cfRule type="containsBlanks" dxfId="10" priority="207">
      <formula>LEN(TRIM(C4))=0</formula>
    </cfRule>
  </conditionalFormatting>
  <conditionalFormatting sqref="E8">
    <cfRule type="cellIs" dxfId="9" priority="193" operator="greaterThan">
      <formula>$E$14</formula>
    </cfRule>
  </conditionalFormatting>
  <conditionalFormatting sqref="F8">
    <cfRule type="cellIs" dxfId="8" priority="194" operator="greaterThan">
      <formula>$F$14</formula>
    </cfRule>
  </conditionalFormatting>
  <conditionalFormatting sqref="F14">
    <cfRule type="cellIs" dxfId="7" priority="35" operator="greaterThan">
      <formula>39000</formula>
    </cfRule>
  </conditionalFormatting>
  <conditionalFormatting sqref="F4:G5 F7:G7">
    <cfRule type="containsBlanks" dxfId="6" priority="208">
      <formula>LEN(TRIM(F4))=0</formula>
    </cfRule>
  </conditionalFormatting>
  <conditionalFormatting sqref="G8">
    <cfRule type="cellIs" dxfId="5" priority="206" stopIfTrue="1" operator="lessThan">
      <formula>$G$14</formula>
    </cfRule>
  </conditionalFormatting>
  <conditionalFormatting sqref="H8">
    <cfRule type="cellIs" dxfId="4" priority="196" operator="greaterThan">
      <formula>$H$14</formula>
    </cfRule>
  </conditionalFormatting>
  <conditionalFormatting sqref="I4:I8 I24:I26">
    <cfRule type="cellIs" dxfId="3" priority="30" operator="lessThan">
      <formula>0</formula>
    </cfRule>
    <cfRule type="cellIs" dxfId="2" priority="50" operator="notEqual">
      <formula>0</formula>
    </cfRule>
  </conditionalFormatting>
  <conditionalFormatting sqref="I28:I30">
    <cfRule type="cellIs" dxfId="1" priority="4" operator="lessThan">
      <formula>0</formula>
    </cfRule>
    <cfRule type="cellIs" dxfId="0" priority="5" operator="not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355"/>
  <sheetViews>
    <sheetView showGridLines="0" workbookViewId="0">
      <selection activeCell="A2" sqref="A2"/>
    </sheetView>
  </sheetViews>
  <sheetFormatPr baseColWidth="10" defaultRowHeight="15" customHeight="1" x14ac:dyDescent="0.25"/>
  <cols>
    <col min="1" max="3" width="11.42578125" style="15"/>
    <col min="4" max="4" width="11.42578125" style="15" customWidth="1"/>
    <col min="5" max="5" width="12" style="15" customWidth="1"/>
    <col min="6" max="11" width="11.42578125" style="15" customWidth="1"/>
    <col min="12" max="12" width="12" style="15" customWidth="1"/>
    <col min="13" max="16" width="11.42578125" style="15" customWidth="1"/>
    <col min="17" max="16384" width="11.42578125" style="15"/>
  </cols>
  <sheetData>
    <row r="1" spans="1:15" ht="15" customHeight="1" x14ac:dyDescent="0.25">
      <c r="B1" s="121"/>
      <c r="C1" s="121"/>
      <c r="D1" s="121"/>
      <c r="E1" s="121"/>
    </row>
    <row r="2" spans="1:15" ht="15" customHeight="1" x14ac:dyDescent="0.25">
      <c r="A2" s="202" t="s">
        <v>366</v>
      </c>
      <c r="B2" s="364" t="s">
        <v>367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</row>
    <row r="3" spans="1:15" ht="15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ht="15" customHeight="1" x14ac:dyDescent="0.25">
      <c r="A4" s="203"/>
      <c r="B4" s="206" t="s">
        <v>66</v>
      </c>
      <c r="C4" s="207"/>
      <c r="D4" s="207"/>
      <c r="E4" s="207"/>
      <c r="F4" s="203"/>
      <c r="G4" s="206" t="str">
        <f>B4</f>
        <v>Cotisations</v>
      </c>
      <c r="H4" s="207"/>
      <c r="I4" s="207"/>
      <c r="J4" s="207"/>
      <c r="K4" s="203"/>
      <c r="L4" s="203"/>
      <c r="M4" s="203"/>
      <c r="N4" s="203"/>
      <c r="O4" s="203"/>
    </row>
    <row r="5" spans="1:15" ht="15" customHeight="1" x14ac:dyDescent="0.25">
      <c r="B5" s="111" t="s">
        <v>7</v>
      </c>
      <c r="C5" s="112"/>
      <c r="D5" s="113">
        <v>44196</v>
      </c>
      <c r="E5" s="114" t="s">
        <v>11</v>
      </c>
      <c r="G5" s="111" t="s">
        <v>7</v>
      </c>
      <c r="H5" s="112"/>
      <c r="I5" s="113">
        <v>44196</v>
      </c>
      <c r="J5" s="114" t="s">
        <v>11</v>
      </c>
    </row>
    <row r="6" spans="1:15" ht="15" customHeight="1" x14ac:dyDescent="0.25">
      <c r="B6" s="115" t="s">
        <v>81</v>
      </c>
      <c r="C6" s="112"/>
      <c r="D6" s="116" t="e">
        <f>#REF!</f>
        <v>#REF!</v>
      </c>
      <c r="E6" s="117" t="e">
        <f>D6/D8</f>
        <v>#REF!</v>
      </c>
      <c r="F6" s="18"/>
      <c r="G6" s="115" t="s">
        <v>81</v>
      </c>
      <c r="H6" s="112"/>
      <c r="I6" s="116" t="e">
        <f>#REF!</f>
        <v>#REF!</v>
      </c>
      <c r="J6" s="117" t="e">
        <f>I6/I8</f>
        <v>#REF!</v>
      </c>
      <c r="K6" s="18"/>
    </row>
    <row r="7" spans="1:15" ht="15" customHeight="1" x14ac:dyDescent="0.25">
      <c r="B7" s="115" t="s">
        <v>55</v>
      </c>
      <c r="C7" s="112"/>
      <c r="D7" s="116" t="e">
        <f>#REF!-#REF!+#REF!-D6</f>
        <v>#REF!</v>
      </c>
      <c r="E7" s="117" t="e">
        <f>D7/D8</f>
        <v>#REF!</v>
      </c>
      <c r="F7" s="18"/>
      <c r="G7" s="115" t="s">
        <v>79</v>
      </c>
      <c r="H7" s="112"/>
      <c r="I7" s="116" t="e">
        <f>#REF!-#REF!+#REF!-I6</f>
        <v>#REF!</v>
      </c>
      <c r="J7" s="117" t="e">
        <f>I7/I8</f>
        <v>#REF!</v>
      </c>
      <c r="K7" s="18"/>
    </row>
    <row r="8" spans="1:15" ht="15" customHeight="1" x14ac:dyDescent="0.25">
      <c r="B8" s="111" t="s">
        <v>64</v>
      </c>
      <c r="C8" s="112"/>
      <c r="D8" s="118" t="e">
        <f>SUM(D6:D7)</f>
        <v>#REF!</v>
      </c>
      <c r="E8" s="119" t="e">
        <f>D8/D8</f>
        <v>#REF!</v>
      </c>
      <c r="F8" s="7" t="e">
        <f>IF(D8=#REF!-#REF!+#REF!,"ok","!")</f>
        <v>#REF!</v>
      </c>
      <c r="G8" s="111" t="s">
        <v>67</v>
      </c>
      <c r="H8" s="112"/>
      <c r="I8" s="118" t="e">
        <f>SUM(I6:I7)</f>
        <v>#REF!</v>
      </c>
      <c r="J8" s="119" t="e">
        <f>I8/I8</f>
        <v>#REF!</v>
      </c>
      <c r="K8" s="7" t="e">
        <f>IF(I8=#REF!-#REF!+#REF!,"ok","!")</f>
        <v>#REF!</v>
      </c>
    </row>
    <row r="9" spans="1:15" ht="15" customHeight="1" x14ac:dyDescent="0.25">
      <c r="D9" s="25"/>
      <c r="I9" s="25"/>
    </row>
    <row r="19" spans="2:16" ht="15" customHeight="1" x14ac:dyDescent="0.25">
      <c r="B19" s="122" t="s">
        <v>36</v>
      </c>
      <c r="C19" s="123"/>
      <c r="D19" s="123"/>
      <c r="E19" s="123"/>
      <c r="G19" s="122" t="str">
        <f>B19</f>
        <v>Valorisations</v>
      </c>
      <c r="H19" s="123"/>
      <c r="I19" s="123"/>
      <c r="J19" s="123"/>
      <c r="L19" s="122" t="str">
        <f>B19</f>
        <v>Valorisations</v>
      </c>
      <c r="M19" s="123"/>
      <c r="N19" s="123"/>
      <c r="O19" s="123"/>
    </row>
    <row r="20" spans="2:16" ht="15" customHeight="1" x14ac:dyDescent="0.25">
      <c r="B20" s="111" t="s">
        <v>62</v>
      </c>
      <c r="C20" s="112"/>
      <c r="D20" s="113">
        <v>44196</v>
      </c>
      <c r="E20" s="114" t="s">
        <v>11</v>
      </c>
      <c r="G20" s="111" t="s">
        <v>63</v>
      </c>
      <c r="H20" s="112"/>
      <c r="I20" s="113">
        <v>44196</v>
      </c>
      <c r="J20" s="114" t="s">
        <v>11</v>
      </c>
      <c r="L20" s="111" t="s">
        <v>7</v>
      </c>
      <c r="M20" s="112"/>
      <c r="N20" s="113">
        <v>44196</v>
      </c>
      <c r="O20" s="114" t="s">
        <v>11</v>
      </c>
    </row>
    <row r="21" spans="2:16" ht="15" customHeight="1" x14ac:dyDescent="0.25">
      <c r="B21" s="115" t="s">
        <v>82</v>
      </c>
      <c r="C21" s="112"/>
      <c r="D21" s="116" t="e">
        <f>#REF!</f>
        <v>#REF!</v>
      </c>
      <c r="E21" s="117" t="e">
        <f>D21/D24</f>
        <v>#REF!</v>
      </c>
      <c r="F21" s="18"/>
      <c r="G21" s="115" t="s">
        <v>82</v>
      </c>
      <c r="H21" s="112"/>
      <c r="I21" s="116" t="e">
        <f>#REF!</f>
        <v>#REF!</v>
      </c>
      <c r="J21" s="117" t="e">
        <f>I21/I24</f>
        <v>#REF!</v>
      </c>
      <c r="K21" s="18"/>
      <c r="L21" s="115" t="s">
        <v>82</v>
      </c>
      <c r="M21" s="112"/>
      <c r="N21" s="116" t="e">
        <f>D21+I21</f>
        <v>#REF!</v>
      </c>
      <c r="O21" s="117" t="e">
        <f>N21/N24</f>
        <v>#REF!</v>
      </c>
    </row>
    <row r="22" spans="2:16" ht="15" customHeight="1" x14ac:dyDescent="0.25">
      <c r="B22" s="112" t="s">
        <v>69</v>
      </c>
      <c r="C22" s="112"/>
      <c r="D22" s="124" t="e">
        <f>D21*#REF!</f>
        <v>#REF!</v>
      </c>
      <c r="E22" s="117" t="e">
        <f>D22/D24</f>
        <v>#REF!</v>
      </c>
      <c r="F22" s="18"/>
      <c r="G22" s="112" t="s">
        <v>69</v>
      </c>
      <c r="H22" s="112"/>
      <c r="I22" s="124" t="e">
        <f>I21*#REF!</f>
        <v>#REF!</v>
      </c>
      <c r="J22" s="117" t="e">
        <f>I22/I24</f>
        <v>#REF!</v>
      </c>
      <c r="K22" s="18"/>
      <c r="L22" s="112" t="s">
        <v>69</v>
      </c>
      <c r="M22" s="112"/>
      <c r="N22" s="116" t="e">
        <f>D22+I22</f>
        <v>#REF!</v>
      </c>
      <c r="O22" s="117" t="e">
        <f>N22/N24</f>
        <v>#REF!</v>
      </c>
    </row>
    <row r="23" spans="2:16" ht="15" customHeight="1" x14ac:dyDescent="0.25">
      <c r="B23" s="115" t="s">
        <v>79</v>
      </c>
      <c r="C23" s="112"/>
      <c r="D23" s="116" t="e">
        <f>#REF!-D21-D22</f>
        <v>#REF!</v>
      </c>
      <c r="E23" s="117" t="e">
        <f>D23/D24</f>
        <v>#REF!</v>
      </c>
      <c r="F23" s="18"/>
      <c r="G23" s="115" t="s">
        <v>79</v>
      </c>
      <c r="H23" s="112"/>
      <c r="I23" s="116" t="e">
        <f>#REF!-I21-I22</f>
        <v>#REF!</v>
      </c>
      <c r="J23" s="117" t="e">
        <f>I23/I24</f>
        <v>#REF!</v>
      </c>
      <c r="K23" s="18"/>
      <c r="L23" s="115" t="s">
        <v>79</v>
      </c>
      <c r="M23" s="112"/>
      <c r="N23" s="116" t="e">
        <f>D23+I23</f>
        <v>#REF!</v>
      </c>
      <c r="O23" s="117" t="e">
        <f>N23/N24</f>
        <v>#REF!</v>
      </c>
    </row>
    <row r="24" spans="2:16" ht="15" customHeight="1" x14ac:dyDescent="0.25">
      <c r="B24" s="111" t="s">
        <v>67</v>
      </c>
      <c r="C24" s="112"/>
      <c r="D24" s="125" t="e">
        <f>SUM(D21:D23)</f>
        <v>#REF!</v>
      </c>
      <c r="E24" s="119" t="e">
        <f>D24/D24</f>
        <v>#REF!</v>
      </c>
      <c r="F24" s="7" t="e">
        <f>IF(D24=#REF!,"ok","!")</f>
        <v>#REF!</v>
      </c>
      <c r="G24" s="111" t="s">
        <v>67</v>
      </c>
      <c r="H24" s="112"/>
      <c r="I24" s="125" t="e">
        <f>SUM(I21:I23)</f>
        <v>#REF!</v>
      </c>
      <c r="J24" s="119" t="e">
        <f>I24/I24</f>
        <v>#REF!</v>
      </c>
      <c r="K24" s="7" t="e">
        <f>IF(I24=#REF!,"ok","!")</f>
        <v>#REF!</v>
      </c>
      <c r="L24" s="111" t="s">
        <v>67</v>
      </c>
      <c r="M24" s="112"/>
      <c r="N24" s="125" t="e">
        <f>SUM(N21:N23)</f>
        <v>#REF!</v>
      </c>
      <c r="O24" s="119" t="e">
        <f>N24/N24</f>
        <v>#REF!</v>
      </c>
      <c r="P24" s="7" t="e">
        <f>IF(N24=D24+I24,"ok","!")</f>
        <v>#REF!</v>
      </c>
    </row>
    <row r="26" spans="2:16" ht="15" customHeight="1" x14ac:dyDescent="0.25">
      <c r="I26" s="16"/>
    </row>
    <row r="27" spans="2:16" ht="15" customHeight="1" x14ac:dyDescent="0.25">
      <c r="I27" s="16"/>
    </row>
    <row r="28" spans="2:16" ht="15" customHeight="1" x14ac:dyDescent="0.25">
      <c r="I28" s="16"/>
    </row>
    <row r="36" spans="2:16" ht="15" customHeight="1" x14ac:dyDescent="0.25">
      <c r="B36" s="122" t="s">
        <v>70</v>
      </c>
      <c r="C36" s="123"/>
      <c r="D36" s="123"/>
      <c r="E36" s="123"/>
      <c r="G36" s="122" t="str">
        <f>B36</f>
        <v>Gestion</v>
      </c>
      <c r="H36" s="123"/>
      <c r="I36" s="123"/>
      <c r="J36" s="123"/>
      <c r="L36" s="122" t="str">
        <f>B36</f>
        <v>Gestion</v>
      </c>
      <c r="M36" s="123"/>
      <c r="N36" s="123"/>
      <c r="O36" s="123"/>
    </row>
    <row r="37" spans="2:16" ht="15" customHeight="1" x14ac:dyDescent="0.25">
      <c r="B37" s="111" t="s">
        <v>62</v>
      </c>
      <c r="C37" s="112"/>
      <c r="D37" s="113">
        <v>44196</v>
      </c>
      <c r="E37" s="114" t="s">
        <v>11</v>
      </c>
      <c r="G37" s="111" t="s">
        <v>63</v>
      </c>
      <c r="H37" s="112"/>
      <c r="I37" s="113">
        <v>44196</v>
      </c>
      <c r="J37" s="114" t="s">
        <v>11</v>
      </c>
      <c r="L37" s="111" t="s">
        <v>7</v>
      </c>
      <c r="M37" s="112"/>
      <c r="N37" s="113">
        <v>44196</v>
      </c>
      <c r="O37" s="114" t="s">
        <v>11</v>
      </c>
    </row>
    <row r="38" spans="2:16" ht="15" customHeight="1" x14ac:dyDescent="0.25">
      <c r="B38" s="126" t="s">
        <v>68</v>
      </c>
      <c r="C38" s="127"/>
      <c r="D38" s="128" t="e">
        <f>#REF!</f>
        <v>#REF!</v>
      </c>
      <c r="E38" s="129" t="e">
        <f>D38/D38</f>
        <v>#REF!</v>
      </c>
      <c r="G38" s="126" t="s">
        <v>68</v>
      </c>
      <c r="H38" s="127"/>
      <c r="I38" s="128" t="e">
        <f>#REF!</f>
        <v>#REF!</v>
      </c>
      <c r="J38" s="129" t="e">
        <f>I38/I38</f>
        <v>#REF!</v>
      </c>
      <c r="L38" s="126" t="s">
        <v>68</v>
      </c>
      <c r="M38" s="127"/>
      <c r="N38" s="128" t="e">
        <f>#REF!-#REF!+#REF!</f>
        <v>#REF!</v>
      </c>
      <c r="O38" s="129" t="e">
        <f>N38/N38</f>
        <v>#REF!</v>
      </c>
    </row>
    <row r="39" spans="2:16" ht="15" customHeight="1" x14ac:dyDescent="0.25">
      <c r="B39" s="112" t="s">
        <v>73</v>
      </c>
      <c r="C39" s="112"/>
      <c r="D39" s="124" t="e">
        <f>#REF!</f>
        <v>#REF!</v>
      </c>
      <c r="E39" s="117" t="e">
        <f>D39/D38</f>
        <v>#REF!</v>
      </c>
      <c r="G39" s="112" t="s">
        <v>73</v>
      </c>
      <c r="H39" s="112"/>
      <c r="I39" s="124" t="e">
        <f>#REF!</f>
        <v>#REF!</v>
      </c>
      <c r="J39" s="117" t="e">
        <f>I39/I38</f>
        <v>#REF!</v>
      </c>
      <c r="L39" s="112" t="s">
        <v>73</v>
      </c>
      <c r="M39" s="112"/>
      <c r="N39" s="124" t="e">
        <f>D39+I39</f>
        <v>#REF!</v>
      </c>
      <c r="O39" s="117" t="e">
        <f>N39/N38</f>
        <v>#REF!</v>
      </c>
      <c r="P39" s="23"/>
    </row>
    <row r="40" spans="2:16" ht="15" customHeight="1" x14ac:dyDescent="0.25">
      <c r="B40" s="112" t="s">
        <v>72</v>
      </c>
      <c r="C40" s="112"/>
      <c r="D40" s="124" t="e">
        <f>#REF!+#REF!+#REF!+#REF!-#REF!+#REF!</f>
        <v>#REF!</v>
      </c>
      <c r="E40" s="117" t="e">
        <f>D40/D38</f>
        <v>#REF!</v>
      </c>
      <c r="G40" s="112" t="s">
        <v>72</v>
      </c>
      <c r="H40" s="112"/>
      <c r="I40" s="124" t="e">
        <f>#REF!+#REF!+#REF!+#REF!-#REF!+#REF!</f>
        <v>#REF!</v>
      </c>
      <c r="J40" s="117" t="e">
        <f>I40/I38</f>
        <v>#REF!</v>
      </c>
      <c r="L40" s="112" t="s">
        <v>72</v>
      </c>
      <c r="M40" s="112"/>
      <c r="N40" s="124" t="e">
        <f>D40+I40</f>
        <v>#REF!</v>
      </c>
      <c r="O40" s="117" t="e">
        <f>N40/N38</f>
        <v>#REF!</v>
      </c>
    </row>
    <row r="41" spans="2:16" ht="15" customHeight="1" x14ac:dyDescent="0.25">
      <c r="B41" s="112" t="s">
        <v>77</v>
      </c>
      <c r="C41" s="112"/>
      <c r="D41" s="124" t="e">
        <f>#REF!</f>
        <v>#REF!</v>
      </c>
      <c r="E41" s="117" t="e">
        <f>D41/D38</f>
        <v>#REF!</v>
      </c>
      <c r="G41" s="112" t="s">
        <v>77</v>
      </c>
      <c r="H41" s="112"/>
      <c r="I41" s="124" t="e">
        <f>#REF!</f>
        <v>#REF!</v>
      </c>
      <c r="J41" s="117" t="e">
        <f>I41/I38</f>
        <v>#REF!</v>
      </c>
      <c r="L41" s="112" t="s">
        <v>77</v>
      </c>
      <c r="M41" s="112"/>
      <c r="N41" s="124" t="e">
        <f>D41+I41</f>
        <v>#REF!</v>
      </c>
      <c r="O41" s="117" t="e">
        <f>N41/N38</f>
        <v>#REF!</v>
      </c>
    </row>
    <row r="42" spans="2:16" ht="15" customHeight="1" x14ac:dyDescent="0.25">
      <c r="B42" s="130" t="s">
        <v>314</v>
      </c>
      <c r="C42" s="130"/>
      <c r="D42" s="131" t="e">
        <f>SUM(D39:D41)</f>
        <v>#REF!</v>
      </c>
      <c r="E42" s="132" t="e">
        <f>D42/D38</f>
        <v>#REF!</v>
      </c>
      <c r="G42" s="130" t="s">
        <v>314</v>
      </c>
      <c r="H42" s="130"/>
      <c r="I42" s="131" t="e">
        <f>SUM(I39:I41)</f>
        <v>#REF!</v>
      </c>
      <c r="J42" s="132" t="e">
        <f>I42/I38</f>
        <v>#REF!</v>
      </c>
      <c r="L42" s="130" t="s">
        <v>314</v>
      </c>
      <c r="M42" s="130"/>
      <c r="N42" s="131" t="e">
        <f>SUM(N39:N41)</f>
        <v>#REF!</v>
      </c>
      <c r="O42" s="132" t="e">
        <f>N42/N38</f>
        <v>#REF!</v>
      </c>
    </row>
    <row r="43" spans="2:16" ht="15" customHeight="1" x14ac:dyDescent="0.25">
      <c r="B43" s="126" t="s">
        <v>316</v>
      </c>
      <c r="C43" s="126"/>
      <c r="D43" s="128" t="e">
        <f>D38-D42</f>
        <v>#REF!</v>
      </c>
      <c r="E43" s="129" t="e">
        <f>D43/D38</f>
        <v>#REF!</v>
      </c>
      <c r="G43" s="126" t="s">
        <v>316</v>
      </c>
      <c r="H43" s="126"/>
      <c r="I43" s="128" t="e">
        <f>I38-I42</f>
        <v>#REF!</v>
      </c>
      <c r="J43" s="129" t="e">
        <f>I43/I38</f>
        <v>#REF!</v>
      </c>
      <c r="L43" s="126" t="s">
        <v>316</v>
      </c>
      <c r="M43" s="126"/>
      <c r="N43" s="128" t="e">
        <f>N38-N42</f>
        <v>#REF!</v>
      </c>
      <c r="O43" s="129" t="e">
        <f>N43/N38</f>
        <v>#REF!</v>
      </c>
    </row>
    <row r="44" spans="2:16" ht="15" customHeight="1" x14ac:dyDescent="0.25">
      <c r="B44" s="112" t="s">
        <v>74</v>
      </c>
      <c r="C44" s="112"/>
      <c r="D44" s="124" t="e">
        <f>#REF!</f>
        <v>#REF!</v>
      </c>
      <c r="E44" s="117" t="e">
        <f>D44/D38</f>
        <v>#REF!</v>
      </c>
      <c r="G44" s="112" t="s">
        <v>74</v>
      </c>
      <c r="H44" s="112"/>
      <c r="I44" s="124" t="e">
        <f>#REF!</f>
        <v>#REF!</v>
      </c>
      <c r="J44" s="117" t="e">
        <f>I44/I38</f>
        <v>#REF!</v>
      </c>
      <c r="L44" s="112" t="s">
        <v>74</v>
      </c>
      <c r="M44" s="112"/>
      <c r="N44" s="124" t="e">
        <f>D44+I44</f>
        <v>#REF!</v>
      </c>
      <c r="O44" s="117" t="e">
        <f>N44/N38</f>
        <v>#REF!</v>
      </c>
    </row>
    <row r="45" spans="2:16" ht="15" customHeight="1" x14ac:dyDescent="0.25">
      <c r="B45" s="112" t="s">
        <v>75</v>
      </c>
      <c r="C45" s="112"/>
      <c r="D45" s="124" t="e">
        <f>#REF!+#REF!</f>
        <v>#REF!</v>
      </c>
      <c r="E45" s="117" t="e">
        <f>D45/D38</f>
        <v>#REF!</v>
      </c>
      <c r="G45" s="112" t="s">
        <v>75</v>
      </c>
      <c r="H45" s="112"/>
      <c r="I45" s="124" t="e">
        <f>#REF!+#REF!</f>
        <v>#REF!</v>
      </c>
      <c r="J45" s="117" t="e">
        <f>I45/I38</f>
        <v>#REF!</v>
      </c>
      <c r="L45" s="112" t="s">
        <v>75</v>
      </c>
      <c r="M45" s="112"/>
      <c r="N45" s="124" t="e">
        <f>D45+I45</f>
        <v>#REF!</v>
      </c>
      <c r="O45" s="117" t="e">
        <f>N45/N38</f>
        <v>#REF!</v>
      </c>
    </row>
    <row r="46" spans="2:16" ht="15" customHeight="1" x14ac:dyDescent="0.25">
      <c r="B46" s="130" t="s">
        <v>315</v>
      </c>
      <c r="C46" s="133"/>
      <c r="D46" s="131" t="e">
        <f>SUM(D44:D45)</f>
        <v>#REF!</v>
      </c>
      <c r="E46" s="132" t="e">
        <f>D46/D38</f>
        <v>#REF!</v>
      </c>
      <c r="G46" s="130" t="s">
        <v>315</v>
      </c>
      <c r="H46" s="133"/>
      <c r="I46" s="131" t="e">
        <f>SUM(I44:I45)</f>
        <v>#REF!</v>
      </c>
      <c r="J46" s="132" t="e">
        <f>I46/I38</f>
        <v>#REF!</v>
      </c>
      <c r="L46" s="130" t="s">
        <v>315</v>
      </c>
      <c r="M46" s="133"/>
      <c r="N46" s="131" t="e">
        <f>SUM(N44:N45)</f>
        <v>#REF!</v>
      </c>
      <c r="O46" s="132" t="e">
        <f>N46/N38</f>
        <v>#REF!</v>
      </c>
    </row>
    <row r="47" spans="2:16" ht="15" customHeight="1" x14ac:dyDescent="0.25">
      <c r="B47" s="126" t="s">
        <v>61</v>
      </c>
      <c r="C47" s="127"/>
      <c r="D47" s="128" t="e">
        <f>D43-D46</f>
        <v>#REF!</v>
      </c>
      <c r="E47" s="129" t="e">
        <f>D47/D38</f>
        <v>#REF!</v>
      </c>
      <c r="G47" s="126" t="s">
        <v>61</v>
      </c>
      <c r="H47" s="127"/>
      <c r="I47" s="128" t="e">
        <f>I43-I46</f>
        <v>#REF!</v>
      </c>
      <c r="J47" s="129" t="e">
        <f>I47/I38</f>
        <v>#REF!</v>
      </c>
      <c r="L47" s="126" t="s">
        <v>61</v>
      </c>
      <c r="M47" s="127"/>
      <c r="N47" s="128" t="e">
        <f>N43-N46</f>
        <v>#REF!</v>
      </c>
      <c r="O47" s="129" t="e">
        <f>N47/N38</f>
        <v>#REF!</v>
      </c>
    </row>
    <row r="49" spans="2:15" ht="15" customHeight="1" x14ac:dyDescent="0.25">
      <c r="B49" s="23" t="s">
        <v>78</v>
      </c>
      <c r="C49" s="17" t="e">
        <f>D38</f>
        <v>#REF!</v>
      </c>
      <c r="D49" s="17"/>
      <c r="E49" s="17"/>
      <c r="G49" s="23" t="s">
        <v>78</v>
      </c>
      <c r="H49" s="17" t="e">
        <f>I38</f>
        <v>#REF!</v>
      </c>
      <c r="I49" s="17"/>
      <c r="J49" s="17"/>
      <c r="L49" s="23" t="s">
        <v>78</v>
      </c>
      <c r="M49" s="17" t="e">
        <f>N38</f>
        <v>#REF!</v>
      </c>
      <c r="N49" s="17"/>
      <c r="O49" s="17"/>
    </row>
    <row r="50" spans="2:15" ht="15" customHeight="1" x14ac:dyDescent="0.25">
      <c r="B50" s="23" t="s">
        <v>71</v>
      </c>
      <c r="C50" s="17" t="e">
        <f>D41</f>
        <v>#REF!</v>
      </c>
      <c r="D50" s="17" t="e">
        <f>D40</f>
        <v>#REF!</v>
      </c>
      <c r="E50" s="17" t="e">
        <f>D39</f>
        <v>#REF!</v>
      </c>
      <c r="G50" s="23" t="s">
        <v>71</v>
      </c>
      <c r="H50" s="17" t="e">
        <f>I41</f>
        <v>#REF!</v>
      </c>
      <c r="I50" s="17" t="e">
        <f>I40</f>
        <v>#REF!</v>
      </c>
      <c r="J50" s="17" t="e">
        <f>I39</f>
        <v>#REF!</v>
      </c>
      <c r="L50" s="23" t="s">
        <v>71</v>
      </c>
      <c r="M50" s="17" t="e">
        <f>N41</f>
        <v>#REF!</v>
      </c>
      <c r="N50" s="17" t="e">
        <f>N40</f>
        <v>#REF!</v>
      </c>
      <c r="O50" s="17" t="e">
        <f>N39</f>
        <v>#REF!</v>
      </c>
    </row>
    <row r="51" spans="2:15" ht="15" customHeight="1" x14ac:dyDescent="0.25">
      <c r="B51" s="23" t="s">
        <v>76</v>
      </c>
      <c r="C51" s="17" t="e">
        <f>D45</f>
        <v>#REF!</v>
      </c>
      <c r="D51" s="17" t="e">
        <f>D44</f>
        <v>#REF!</v>
      </c>
      <c r="E51" s="17"/>
      <c r="G51" s="23" t="s">
        <v>76</v>
      </c>
      <c r="H51" s="17" t="e">
        <f>I45</f>
        <v>#REF!</v>
      </c>
      <c r="I51" s="17" t="e">
        <f>I44</f>
        <v>#REF!</v>
      </c>
      <c r="J51" s="17"/>
      <c r="L51" s="23" t="s">
        <v>76</v>
      </c>
      <c r="M51" s="17" t="e">
        <f>N45</f>
        <v>#REF!</v>
      </c>
      <c r="N51" s="17" t="e">
        <f>N44</f>
        <v>#REF!</v>
      </c>
      <c r="O51" s="17"/>
    </row>
    <row r="63" spans="2:15" ht="15" customHeight="1" x14ac:dyDescent="0.25">
      <c r="B63" s="122" t="s">
        <v>335</v>
      </c>
      <c r="C63" s="123"/>
      <c r="D63" s="123"/>
      <c r="E63" s="123"/>
      <c r="G63" s="122" t="str">
        <f>B63</f>
        <v>Activités</v>
      </c>
      <c r="H63" s="123"/>
      <c r="I63" s="123"/>
      <c r="J63" s="123"/>
      <c r="L63" s="122" t="str">
        <f>B63</f>
        <v>Activités</v>
      </c>
      <c r="M63" s="123"/>
      <c r="N63" s="123"/>
      <c r="O63" s="123"/>
    </row>
    <row r="64" spans="2:15" ht="15" customHeight="1" x14ac:dyDescent="0.25">
      <c r="B64" s="111" t="s">
        <v>62</v>
      </c>
      <c r="C64" s="112"/>
      <c r="D64" s="113">
        <v>44196</v>
      </c>
      <c r="E64" s="114" t="s">
        <v>11</v>
      </c>
      <c r="G64" s="111" t="s">
        <v>63</v>
      </c>
      <c r="H64" s="112"/>
      <c r="I64" s="113">
        <v>44196</v>
      </c>
      <c r="J64" s="114" t="s">
        <v>11</v>
      </c>
      <c r="L64" s="111" t="s">
        <v>7</v>
      </c>
      <c r="M64" s="112"/>
      <c r="N64" s="113">
        <v>44196</v>
      </c>
      <c r="O64" s="114" t="s">
        <v>11</v>
      </c>
    </row>
    <row r="65" spans="2:15" ht="15" customHeight="1" x14ac:dyDescent="0.25">
      <c r="B65" s="134" t="s">
        <v>43</v>
      </c>
      <c r="C65" s="112"/>
      <c r="D65" s="116" t="e">
        <f>G266+G273</f>
        <v>#REF!</v>
      </c>
      <c r="E65" s="117" t="e">
        <f>D65/D71</f>
        <v>#REF!</v>
      </c>
      <c r="G65" s="134" t="s">
        <v>43</v>
      </c>
      <c r="H65" s="112"/>
      <c r="I65" s="116" t="e">
        <f>O266+O273</f>
        <v>#REF!</v>
      </c>
      <c r="J65" s="117" t="e">
        <f>I65/I71</f>
        <v>#REF!</v>
      </c>
      <c r="L65" s="134" t="s">
        <v>43</v>
      </c>
      <c r="M65" s="112"/>
      <c r="N65" s="116" t="e">
        <f>W266+W273</f>
        <v>#REF!</v>
      </c>
      <c r="O65" s="117" t="e">
        <f>N65/N71</f>
        <v>#REF!</v>
      </c>
    </row>
    <row r="66" spans="2:15" ht="15" customHeight="1" x14ac:dyDescent="0.25">
      <c r="B66" s="135" t="s">
        <v>45</v>
      </c>
      <c r="C66" s="112"/>
      <c r="D66" s="116">
        <f>G267</f>
        <v>0</v>
      </c>
      <c r="E66" s="117" t="e">
        <f>D66/D71</f>
        <v>#REF!</v>
      </c>
      <c r="G66" s="135" t="s">
        <v>45</v>
      </c>
      <c r="H66" s="112"/>
      <c r="I66" s="116" t="e">
        <f>O267</f>
        <v>#REF!</v>
      </c>
      <c r="J66" s="117" t="e">
        <f>I66/I71</f>
        <v>#REF!</v>
      </c>
      <c r="L66" s="135" t="s">
        <v>45</v>
      </c>
      <c r="M66" s="112"/>
      <c r="N66" s="116" t="e">
        <f>W267</f>
        <v>#REF!</v>
      </c>
      <c r="O66" s="117" t="e">
        <f>N66/N71</f>
        <v>#REF!</v>
      </c>
    </row>
    <row r="67" spans="2:15" ht="15" customHeight="1" x14ac:dyDescent="0.25">
      <c r="B67" s="135" t="s">
        <v>44</v>
      </c>
      <c r="C67" s="112"/>
      <c r="D67" s="116" t="e">
        <f t="shared" ref="D67:D70" si="0">G268</f>
        <v>#REF!</v>
      </c>
      <c r="E67" s="117" t="e">
        <f>D67/D71</f>
        <v>#REF!</v>
      </c>
      <c r="G67" s="135" t="s">
        <v>44</v>
      </c>
      <c r="H67" s="112"/>
      <c r="I67" s="116">
        <f t="shared" ref="I67:I70" si="1">O268</f>
        <v>0</v>
      </c>
      <c r="J67" s="117" t="e">
        <f>I67/I71</f>
        <v>#REF!</v>
      </c>
      <c r="L67" s="135" t="s">
        <v>44</v>
      </c>
      <c r="M67" s="112"/>
      <c r="N67" s="116" t="e">
        <f t="shared" ref="N67:N70" si="2">W268</f>
        <v>#REF!</v>
      </c>
      <c r="O67" s="117" t="e">
        <f>N67/N71</f>
        <v>#REF!</v>
      </c>
    </row>
    <row r="68" spans="2:15" ht="15" customHeight="1" x14ac:dyDescent="0.25">
      <c r="B68" s="135" t="s">
        <v>304</v>
      </c>
      <c r="C68" s="112"/>
      <c r="D68" s="116" t="e">
        <f t="shared" si="0"/>
        <v>#REF!</v>
      </c>
      <c r="E68" s="117" t="e">
        <f>D68/D71</f>
        <v>#REF!</v>
      </c>
      <c r="G68" s="135" t="s">
        <v>304</v>
      </c>
      <c r="H68" s="112"/>
      <c r="I68" s="116" t="e">
        <f t="shared" si="1"/>
        <v>#REF!</v>
      </c>
      <c r="J68" s="117" t="e">
        <f>I68/I71</f>
        <v>#REF!</v>
      </c>
      <c r="L68" s="135" t="s">
        <v>304</v>
      </c>
      <c r="M68" s="112"/>
      <c r="N68" s="116" t="e">
        <f t="shared" si="2"/>
        <v>#REF!</v>
      </c>
      <c r="O68" s="117" t="e">
        <f>N68/N71</f>
        <v>#REF!</v>
      </c>
    </row>
    <row r="69" spans="2:15" ht="15" customHeight="1" x14ac:dyDescent="0.25">
      <c r="B69" s="136" t="s">
        <v>336</v>
      </c>
      <c r="C69" s="112"/>
      <c r="D69" s="116">
        <f t="shared" si="0"/>
        <v>0</v>
      </c>
      <c r="E69" s="117" t="e">
        <f>D69/D71</f>
        <v>#REF!</v>
      </c>
      <c r="G69" s="136" t="s">
        <v>336</v>
      </c>
      <c r="H69" s="112"/>
      <c r="I69" s="116" t="e">
        <f t="shared" si="1"/>
        <v>#REF!</v>
      </c>
      <c r="J69" s="117" t="e">
        <f>I69/I71</f>
        <v>#REF!</v>
      </c>
      <c r="L69" s="136" t="s">
        <v>336</v>
      </c>
      <c r="M69" s="112"/>
      <c r="N69" s="116" t="e">
        <f t="shared" si="2"/>
        <v>#REF!</v>
      </c>
      <c r="O69" s="117" t="e">
        <f>N69/N71</f>
        <v>#REF!</v>
      </c>
    </row>
    <row r="70" spans="2:15" ht="15" customHeight="1" x14ac:dyDescent="0.25">
      <c r="B70" s="135" t="s">
        <v>305</v>
      </c>
      <c r="C70" s="112"/>
      <c r="D70" s="116" t="e">
        <f t="shared" si="0"/>
        <v>#REF!</v>
      </c>
      <c r="E70" s="117" t="e">
        <f>D70/D71</f>
        <v>#REF!</v>
      </c>
      <c r="G70" s="135" t="s">
        <v>305</v>
      </c>
      <c r="H70" s="112"/>
      <c r="I70" s="116" t="e">
        <f t="shared" si="1"/>
        <v>#REF!</v>
      </c>
      <c r="J70" s="117" t="e">
        <f>I70/I71</f>
        <v>#REF!</v>
      </c>
      <c r="L70" s="135" t="s">
        <v>305</v>
      </c>
      <c r="M70" s="112"/>
      <c r="N70" s="116" t="e">
        <f t="shared" si="2"/>
        <v>#REF!</v>
      </c>
      <c r="O70" s="117" t="e">
        <f>N70/N71</f>
        <v>#REF!</v>
      </c>
    </row>
    <row r="71" spans="2:15" ht="15" customHeight="1" x14ac:dyDescent="0.25">
      <c r="B71" s="111" t="s">
        <v>163</v>
      </c>
      <c r="C71" s="112"/>
      <c r="D71" s="125" t="e">
        <f>SUM(D65:D70)</f>
        <v>#REF!</v>
      </c>
      <c r="E71" s="119" t="e">
        <f>SUM(E65:E70)</f>
        <v>#REF!</v>
      </c>
      <c r="G71" s="111" t="s">
        <v>163</v>
      </c>
      <c r="H71" s="112"/>
      <c r="I71" s="125" t="e">
        <f>SUM(I65:I70)</f>
        <v>#REF!</v>
      </c>
      <c r="J71" s="119" t="e">
        <f>SUM(J65:J70)</f>
        <v>#REF!</v>
      </c>
      <c r="L71" s="111" t="s">
        <v>163</v>
      </c>
      <c r="M71" s="112"/>
      <c r="N71" s="125" t="e">
        <f>SUM(N65:N70)</f>
        <v>#REF!</v>
      </c>
      <c r="O71" s="119" t="e">
        <f>SUM(O65:O70)</f>
        <v>#REF!</v>
      </c>
    </row>
    <row r="83" spans="2:21" ht="15" customHeight="1" x14ac:dyDescent="0.25">
      <c r="B83" s="7"/>
    </row>
    <row r="84" spans="2:21" ht="15" customHeight="1" x14ac:dyDescent="0.25">
      <c r="B84" s="122" t="s">
        <v>15</v>
      </c>
      <c r="C84" s="123"/>
      <c r="D84" s="123"/>
      <c r="E84" s="123"/>
      <c r="G84" s="122" t="str">
        <f>B84</f>
        <v>Subventions AFD</v>
      </c>
      <c r="H84" s="123"/>
      <c r="I84" s="123"/>
      <c r="J84" s="123"/>
      <c r="M84" s="122" t="str">
        <f>B84</f>
        <v>Subventions AFD</v>
      </c>
      <c r="N84" s="106"/>
      <c r="O84" s="107"/>
      <c r="P84" s="107"/>
      <c r="Q84" s="107"/>
      <c r="R84" s="107"/>
      <c r="S84" s="107"/>
      <c r="T84" s="107"/>
      <c r="U84" s="107"/>
    </row>
    <row r="85" spans="2:21" ht="15" customHeight="1" x14ac:dyDescent="0.25">
      <c r="B85" s="111" t="s">
        <v>7</v>
      </c>
      <c r="C85" s="112"/>
      <c r="D85" s="113">
        <v>44196</v>
      </c>
      <c r="E85" s="114" t="s">
        <v>11</v>
      </c>
      <c r="G85" s="111" t="s">
        <v>7</v>
      </c>
      <c r="H85" s="112"/>
      <c r="I85" s="113">
        <v>44196</v>
      </c>
      <c r="J85" s="114" t="s">
        <v>11</v>
      </c>
      <c r="L85" s="99"/>
      <c r="M85" s="111" t="s">
        <v>7</v>
      </c>
      <c r="N85" s="138"/>
      <c r="O85" s="139">
        <v>41640</v>
      </c>
      <c r="P85" s="139">
        <v>42005</v>
      </c>
      <c r="Q85" s="139">
        <v>42370</v>
      </c>
      <c r="R85" s="139">
        <v>42736</v>
      </c>
      <c r="S85" s="139">
        <v>43101</v>
      </c>
      <c r="T85" s="139">
        <v>43466</v>
      </c>
      <c r="U85" s="139">
        <v>43831</v>
      </c>
    </row>
    <row r="86" spans="2:21" ht="15" customHeight="1" x14ac:dyDescent="0.25">
      <c r="B86" s="115" t="s">
        <v>83</v>
      </c>
      <c r="C86" s="112"/>
      <c r="D86" s="116" t="e">
        <f>#REF!+#REF!</f>
        <v>#REF!</v>
      </c>
      <c r="E86" s="117" t="e">
        <f>D86/D88</f>
        <v>#REF!</v>
      </c>
      <c r="G86" s="115" t="s">
        <v>83</v>
      </c>
      <c r="H86" s="112"/>
      <c r="I86" s="116" t="e">
        <f>#REF!+#REF!</f>
        <v>#REF!</v>
      </c>
      <c r="J86" s="117" t="e">
        <f>I86/I88</f>
        <v>#REF!</v>
      </c>
      <c r="M86" s="102" t="s">
        <v>337</v>
      </c>
      <c r="N86" s="102"/>
      <c r="O86" s="103">
        <f>490976+95594</f>
        <v>586570</v>
      </c>
      <c r="P86" s="103">
        <f>586646+119106</f>
        <v>705752</v>
      </c>
      <c r="Q86" s="103">
        <f>491917+145979</f>
        <v>637896</v>
      </c>
      <c r="R86" s="103">
        <f>599346+194521</f>
        <v>793867</v>
      </c>
      <c r="S86" s="103">
        <f>760696+271299</f>
        <v>1031995</v>
      </c>
      <c r="T86" s="103">
        <f>613093+286907</f>
        <v>900000</v>
      </c>
      <c r="U86" s="110">
        <f>556579.49+251856</f>
        <v>808435.49</v>
      </c>
    </row>
    <row r="87" spans="2:21" ht="15" customHeight="1" x14ac:dyDescent="0.25">
      <c r="B87" s="137" t="s">
        <v>55</v>
      </c>
      <c r="C87" s="112"/>
      <c r="D87" s="116" t="e">
        <f>#REF!-#REF!+#REF!-D86</f>
        <v>#REF!</v>
      </c>
      <c r="E87" s="117" t="e">
        <f>D87/D88</f>
        <v>#REF!</v>
      </c>
      <c r="G87" s="137" t="s">
        <v>79</v>
      </c>
      <c r="H87" s="112"/>
      <c r="I87" s="116" t="e">
        <f>#REF!-#REF!+#REF!-I86</f>
        <v>#REF!</v>
      </c>
      <c r="J87" s="117" t="e">
        <f>I87/I88</f>
        <v>#REF!</v>
      </c>
      <c r="M87" s="102" t="s">
        <v>338</v>
      </c>
      <c r="N87" s="102"/>
      <c r="O87" s="103">
        <v>54930.140000000014</v>
      </c>
      <c r="P87" s="103">
        <v>166470</v>
      </c>
      <c r="Q87" s="103">
        <f>169813+33474</f>
        <v>203287</v>
      </c>
      <c r="R87" s="103">
        <f>149061+83592</f>
        <v>232653</v>
      </c>
      <c r="S87" s="103">
        <f>208726+86351</f>
        <v>295077</v>
      </c>
      <c r="T87" s="103">
        <v>265801</v>
      </c>
      <c r="U87" s="103">
        <f>486502.33+80320</f>
        <v>566822.33000000007</v>
      </c>
    </row>
    <row r="88" spans="2:21" ht="15" customHeight="1" x14ac:dyDescent="0.25">
      <c r="B88" s="111" t="s">
        <v>64</v>
      </c>
      <c r="C88" s="112"/>
      <c r="D88" s="118" t="e">
        <f>SUM(D86:D87)</f>
        <v>#REF!</v>
      </c>
      <c r="E88" s="119" t="e">
        <f>D88/D88</f>
        <v>#REF!</v>
      </c>
      <c r="F88" s="7" t="e">
        <f>IF(D88=#REF!-#REF!+#REF!,"ok","!")</f>
        <v>#REF!</v>
      </c>
      <c r="G88" s="111" t="s">
        <v>67</v>
      </c>
      <c r="H88" s="112"/>
      <c r="I88" s="118" t="e">
        <f>SUM(I86:I87)</f>
        <v>#REF!</v>
      </c>
      <c r="J88" s="119" t="e">
        <f>I88/I88</f>
        <v>#REF!</v>
      </c>
      <c r="K88" s="7" t="e">
        <f>IF(I88=#REF!-#REF!+#REF!,"ok","!")</f>
        <v>#REF!</v>
      </c>
      <c r="L88" s="99" t="s">
        <v>323</v>
      </c>
      <c r="M88" s="105" t="s">
        <v>339</v>
      </c>
      <c r="N88" s="105"/>
      <c r="O88" s="104">
        <f>SUM(O86:O87)</f>
        <v>641500.14</v>
      </c>
      <c r="P88" s="104">
        <f t="shared" ref="P88:U88" si="3">SUM(P86:P87)</f>
        <v>872222</v>
      </c>
      <c r="Q88" s="104">
        <f>SUM(Q86:Q87)</f>
        <v>841183</v>
      </c>
      <c r="R88" s="104">
        <f t="shared" si="3"/>
        <v>1026520</v>
      </c>
      <c r="S88" s="104">
        <f t="shared" si="3"/>
        <v>1327072</v>
      </c>
      <c r="T88" s="104">
        <f t="shared" si="3"/>
        <v>1165801</v>
      </c>
      <c r="U88" s="104">
        <f t="shared" si="3"/>
        <v>1375257.82</v>
      </c>
    </row>
    <row r="98" spans="1:25" ht="15" customHeight="1" x14ac:dyDescent="0.25">
      <c r="B98" s="7"/>
    </row>
    <row r="99" spans="1:25" ht="15" customHeight="1" x14ac:dyDescent="0.25">
      <c r="B99" s="7"/>
    </row>
    <row r="100" spans="1:25" ht="15" customHeight="1" x14ac:dyDescent="0.25">
      <c r="B100" s="122" t="s">
        <v>324</v>
      </c>
      <c r="C100" s="106"/>
      <c r="D100" s="107"/>
      <c r="E100" s="107"/>
      <c r="F100" s="107"/>
      <c r="G100" s="107"/>
      <c r="H100" s="107"/>
      <c r="I100" s="107"/>
      <c r="J100" s="107"/>
      <c r="K100" s="100"/>
      <c r="M100" s="14" t="s">
        <v>52</v>
      </c>
      <c r="N100" s="108"/>
      <c r="O100" s="107">
        <v>41640</v>
      </c>
      <c r="P100" s="107">
        <v>42005</v>
      </c>
      <c r="Q100" s="107">
        <v>42370</v>
      </c>
      <c r="R100" s="107">
        <v>42736</v>
      </c>
      <c r="S100" s="107">
        <v>43101</v>
      </c>
      <c r="T100" s="107">
        <v>43466</v>
      </c>
      <c r="U100" s="107">
        <v>43831</v>
      </c>
      <c r="W100" s="14" t="s">
        <v>262</v>
      </c>
      <c r="X100" s="108"/>
      <c r="Y100" s="107">
        <v>43831</v>
      </c>
    </row>
    <row r="101" spans="1:25" ht="15" customHeight="1" x14ac:dyDescent="0.25">
      <c r="B101" s="111" t="s">
        <v>7</v>
      </c>
      <c r="C101" s="112"/>
      <c r="D101" s="113">
        <v>41640</v>
      </c>
      <c r="E101" s="113">
        <v>42005</v>
      </c>
      <c r="F101" s="113">
        <v>42370</v>
      </c>
      <c r="G101" s="113">
        <v>42736</v>
      </c>
      <c r="H101" s="113">
        <v>43101</v>
      </c>
      <c r="I101" s="113">
        <v>43466</v>
      </c>
      <c r="J101" s="113">
        <v>43831</v>
      </c>
      <c r="K101" s="24"/>
      <c r="M101" s="10" t="s">
        <v>59</v>
      </c>
      <c r="N101" s="10"/>
      <c r="O101" s="11">
        <v>97905.85</v>
      </c>
      <c r="P101" s="11">
        <f>O104</f>
        <v>47905.850000000006</v>
      </c>
      <c r="Q101" s="11">
        <f t="shared" ref="Q101:U101" si="4">P104</f>
        <v>52332.85</v>
      </c>
      <c r="R101" s="11">
        <f t="shared" si="4"/>
        <v>88158.14</v>
      </c>
      <c r="S101" s="11">
        <f t="shared" si="4"/>
        <v>132123.75</v>
      </c>
      <c r="T101" s="11">
        <f t="shared" si="4"/>
        <v>179909.85</v>
      </c>
      <c r="U101" s="11">
        <f t="shared" si="4"/>
        <v>203728.24000000002</v>
      </c>
      <c r="W101" s="10" t="s">
        <v>342</v>
      </c>
      <c r="X101" s="10"/>
      <c r="Y101" s="11">
        <f>AC104</f>
        <v>0</v>
      </c>
    </row>
    <row r="102" spans="1:25" ht="15" customHeight="1" x14ac:dyDescent="0.25">
      <c r="A102" s="85"/>
      <c r="B102" s="140" t="s">
        <v>325</v>
      </c>
      <c r="C102" s="140"/>
      <c r="D102" s="116" t="e">
        <f>#REF!</f>
        <v>#REF!</v>
      </c>
      <c r="E102" s="116" t="e">
        <f>#REF!</f>
        <v>#REF!</v>
      </c>
      <c r="F102" s="116" t="e">
        <f>#REF!</f>
        <v>#REF!</v>
      </c>
      <c r="G102" s="116" t="e">
        <f>#REF!</f>
        <v>#REF!</v>
      </c>
      <c r="H102" s="116" t="e">
        <f>#REF!</f>
        <v>#REF!</v>
      </c>
      <c r="I102" s="116" t="e">
        <f>#REF!</f>
        <v>#REF!</v>
      </c>
      <c r="J102" s="116" t="e">
        <f>#REF!</f>
        <v>#REF!</v>
      </c>
      <c r="K102" s="17"/>
      <c r="M102" s="109" t="s">
        <v>340</v>
      </c>
      <c r="N102" s="12"/>
      <c r="O102" s="9">
        <v>32000</v>
      </c>
      <c r="P102" s="9">
        <v>22000</v>
      </c>
      <c r="Q102" s="9">
        <v>35825</v>
      </c>
      <c r="R102" s="9">
        <v>43965.61</v>
      </c>
      <c r="S102" s="9">
        <v>64544.1</v>
      </c>
      <c r="T102" s="9">
        <v>64500</v>
      </c>
      <c r="U102" s="9">
        <v>59499.999999999971</v>
      </c>
      <c r="W102" s="109" t="s">
        <v>340</v>
      </c>
      <c r="X102" s="12"/>
      <c r="Y102" s="9" t="e">
        <f>-X273</f>
        <v>#REF!</v>
      </c>
    </row>
    <row r="103" spans="1:25" ht="15" customHeight="1" x14ac:dyDescent="0.25">
      <c r="A103" s="86"/>
      <c r="B103" s="126" t="s">
        <v>57</v>
      </c>
      <c r="C103" s="112"/>
      <c r="D103" s="128" t="e">
        <f>#REF!</f>
        <v>#REF!</v>
      </c>
      <c r="E103" s="128" t="e">
        <f>#REF!</f>
        <v>#REF!</v>
      </c>
      <c r="F103" s="128" t="e">
        <f>#REF!</f>
        <v>#REF!</v>
      </c>
      <c r="G103" s="128" t="e">
        <f>#REF!</f>
        <v>#REF!</v>
      </c>
      <c r="H103" s="128" t="e">
        <f>#REF!</f>
        <v>#REF!</v>
      </c>
      <c r="I103" s="128" t="e">
        <f>#REF!</f>
        <v>#REF!</v>
      </c>
      <c r="J103" s="128" t="e">
        <f>#REF!</f>
        <v>#REF!</v>
      </c>
      <c r="K103" s="17"/>
      <c r="M103" s="109" t="s">
        <v>341</v>
      </c>
      <c r="N103" s="12"/>
      <c r="O103" s="9">
        <v>82000</v>
      </c>
      <c r="P103" s="9">
        <v>17573.000000000007</v>
      </c>
      <c r="Q103" s="9">
        <v>-0.28999999999359716</v>
      </c>
      <c r="R103" s="9">
        <v>0</v>
      </c>
      <c r="S103" s="9">
        <v>16758</v>
      </c>
      <c r="T103" s="9">
        <v>40681.609999999986</v>
      </c>
      <c r="U103" s="9">
        <v>59500</v>
      </c>
      <c r="W103" s="109" t="s">
        <v>341</v>
      </c>
      <c r="X103" s="12"/>
      <c r="Y103" s="9">
        <v>0</v>
      </c>
    </row>
    <row r="104" spans="1:25" ht="15" customHeight="1" x14ac:dyDescent="0.25">
      <c r="A104" s="101"/>
      <c r="B104" s="130" t="s">
        <v>326</v>
      </c>
      <c r="C104" s="112"/>
      <c r="D104" s="131" t="e">
        <f>#REF!</f>
        <v>#REF!</v>
      </c>
      <c r="E104" s="131" t="e">
        <f>#REF!</f>
        <v>#REF!</v>
      </c>
      <c r="F104" s="131" t="e">
        <f>#REF!</f>
        <v>#REF!</v>
      </c>
      <c r="G104" s="131" t="e">
        <f>#REF!</f>
        <v>#REF!</v>
      </c>
      <c r="H104" s="131" t="e">
        <f>#REF!</f>
        <v>#REF!</v>
      </c>
      <c r="I104" s="131" t="e">
        <f>#REF!</f>
        <v>#REF!</v>
      </c>
      <c r="J104" s="131" t="e">
        <f>#REF!</f>
        <v>#REF!</v>
      </c>
      <c r="M104" s="10" t="s">
        <v>60</v>
      </c>
      <c r="N104" s="10"/>
      <c r="O104" s="11">
        <f>O101+O102-O103</f>
        <v>47905.850000000006</v>
      </c>
      <c r="P104" s="11">
        <f t="shared" ref="P104:U104" si="5">P101+P102-P103</f>
        <v>52332.85</v>
      </c>
      <c r="Q104" s="11">
        <f t="shared" si="5"/>
        <v>88158.14</v>
      </c>
      <c r="R104" s="11">
        <f t="shared" si="5"/>
        <v>132123.75</v>
      </c>
      <c r="S104" s="11">
        <f t="shared" si="5"/>
        <v>179909.85</v>
      </c>
      <c r="T104" s="11">
        <f t="shared" si="5"/>
        <v>203728.24000000002</v>
      </c>
      <c r="U104" s="11">
        <f t="shared" si="5"/>
        <v>203728.24</v>
      </c>
      <c r="V104" s="99" t="s">
        <v>323</v>
      </c>
      <c r="W104" s="10" t="s">
        <v>343</v>
      </c>
      <c r="X104" s="10"/>
      <c r="Y104" s="11" t="e">
        <f>SUM(Y101:Y103)</f>
        <v>#REF!</v>
      </c>
    </row>
    <row r="105" spans="1:25" ht="15" customHeight="1" x14ac:dyDescent="0.25">
      <c r="B105" s="141" t="s">
        <v>58</v>
      </c>
      <c r="C105" s="112"/>
      <c r="D105" s="118" t="e">
        <f>D103-D104</f>
        <v>#REF!</v>
      </c>
      <c r="E105" s="118" t="e">
        <f t="shared" ref="E105:J105" si="6">E103-E104</f>
        <v>#REF!</v>
      </c>
      <c r="F105" s="118" t="e">
        <f t="shared" si="6"/>
        <v>#REF!</v>
      </c>
      <c r="G105" s="118" t="e">
        <f t="shared" si="6"/>
        <v>#REF!</v>
      </c>
      <c r="H105" s="118" t="e">
        <f t="shared" si="6"/>
        <v>#REF!</v>
      </c>
      <c r="I105" s="118" t="e">
        <f t="shared" si="6"/>
        <v>#REF!</v>
      </c>
      <c r="J105" s="118" t="e">
        <f t="shared" si="6"/>
        <v>#REF!</v>
      </c>
    </row>
    <row r="106" spans="1:25" ht="15" customHeight="1" x14ac:dyDescent="0.25">
      <c r="B106" s="142" t="s">
        <v>327</v>
      </c>
      <c r="C106" s="143"/>
      <c r="D106" s="144" t="e">
        <f>IF(D105=0,0,D103/D105)</f>
        <v>#REF!</v>
      </c>
      <c r="E106" s="144" t="e">
        <f t="shared" ref="E106:J106" si="7">IF(E105=0,0,E103/E105)</f>
        <v>#REF!</v>
      </c>
      <c r="F106" s="144" t="e">
        <f t="shared" si="7"/>
        <v>#REF!</v>
      </c>
      <c r="G106" s="144" t="e">
        <f t="shared" si="7"/>
        <v>#REF!</v>
      </c>
      <c r="H106" s="144" t="e">
        <f t="shared" si="7"/>
        <v>#REF!</v>
      </c>
      <c r="I106" s="144" t="e">
        <f t="shared" si="7"/>
        <v>#REF!</v>
      </c>
      <c r="J106" s="144" t="e">
        <f t="shared" si="7"/>
        <v>#REF!</v>
      </c>
    </row>
    <row r="107" spans="1:25" ht="15" customHeight="1" x14ac:dyDescent="0.25">
      <c r="B107" s="142" t="s">
        <v>328</v>
      </c>
      <c r="C107" s="143"/>
      <c r="D107" s="144" t="e">
        <f>-IF(D104=0,0,D104/D105)</f>
        <v>#REF!</v>
      </c>
      <c r="E107" s="144" t="e">
        <f t="shared" ref="E107:J107" si="8">-IF(E104=0,0,E104/E105)</f>
        <v>#REF!</v>
      </c>
      <c r="F107" s="144" t="e">
        <f t="shared" si="8"/>
        <v>#REF!</v>
      </c>
      <c r="G107" s="144" t="e">
        <f t="shared" si="8"/>
        <v>#REF!</v>
      </c>
      <c r="H107" s="144" t="e">
        <f t="shared" si="8"/>
        <v>#REF!</v>
      </c>
      <c r="I107" s="144" t="e">
        <f t="shared" si="8"/>
        <v>#REF!</v>
      </c>
      <c r="J107" s="144" t="e">
        <f t="shared" si="8"/>
        <v>#REF!</v>
      </c>
    </row>
    <row r="108" spans="1:25" ht="15" customHeight="1" x14ac:dyDescent="0.25">
      <c r="B108" s="148" t="s">
        <v>344</v>
      </c>
      <c r="C108" s="120"/>
      <c r="D108" s="120"/>
      <c r="E108" s="120"/>
      <c r="F108" s="120"/>
      <c r="G108" s="120"/>
      <c r="H108" s="120"/>
      <c r="I108" s="120"/>
      <c r="J108" s="120"/>
    </row>
    <row r="109" spans="1:25" ht="15" customHeight="1" x14ac:dyDescent="0.25">
      <c r="B109" s="136" t="s">
        <v>329</v>
      </c>
      <c r="C109" s="112"/>
      <c r="D109" s="145" t="e">
        <f>(#REF!+#REF!+#REF!+#REF!+#REF!-#REF!)/(#REF!)*360</f>
        <v>#REF!</v>
      </c>
      <c r="E109" s="145" t="e">
        <f>(#REF!+#REF!+#REF!+#REF!+#REF!-#REF!)/(#REF!)*360</f>
        <v>#REF!</v>
      </c>
      <c r="F109" s="145" t="e">
        <f>(#REF!+#REF!+#REF!+#REF!+#REF!-(#REF!-#REF!-#REF!))/(#REF!)*360</f>
        <v>#REF!</v>
      </c>
      <c r="G109" s="145" t="e">
        <f>(#REF!+#REF!+#REF!+#REF!+#REF!-(#REF!-#REF!))/(#REF!)*360</f>
        <v>#REF!</v>
      </c>
      <c r="H109" s="145" t="e">
        <f>(#REF!+#REF!+#REF!+#REF!+#REF!-#REF!)/(#REF!)*360</f>
        <v>#REF!</v>
      </c>
      <c r="I109" s="145" t="e">
        <f>(#REF!+#REF!+#REF!+#REF!+#REF!-#REF!)/(#REF!)*360</f>
        <v>#REF!</v>
      </c>
      <c r="J109" s="145" t="e">
        <f>(#REF!+#REF!+#REF!+#REF!+#REF!-(#REF!-#REF!-#REF!-#REF!))/(#REF!)*360</f>
        <v>#REF!</v>
      </c>
    </row>
    <row r="110" spans="1:25" ht="15" customHeight="1" x14ac:dyDescent="0.25">
      <c r="B110" s="136" t="s">
        <v>330</v>
      </c>
      <c r="C110" s="112"/>
      <c r="D110" s="145" t="e">
        <f>(#REF!)/(#REF!)*360</f>
        <v>#REF!</v>
      </c>
      <c r="E110" s="145" t="e">
        <f>(#REF!)/(#REF!)*360</f>
        <v>#REF!</v>
      </c>
      <c r="F110" s="145" t="e">
        <f>(#REF!-#REF!-#REF!)/(#REF!)*360</f>
        <v>#REF!</v>
      </c>
      <c r="G110" s="145" t="e">
        <f>(#REF!-#REF!)/(#REF!)*360</f>
        <v>#REF!</v>
      </c>
      <c r="H110" s="145" t="e">
        <f>(#REF!)/(#REF!)*360</f>
        <v>#REF!</v>
      </c>
      <c r="I110" s="145" t="e">
        <f>(#REF!)/(#REF!)*360</f>
        <v>#REF!</v>
      </c>
      <c r="J110" s="145" t="e">
        <f>(#REF!-#REF!-#REF!-#REF!)/(#REF!)*360</f>
        <v>#REF!</v>
      </c>
    </row>
    <row r="111" spans="1:25" ht="15" customHeight="1" x14ac:dyDescent="0.25">
      <c r="B111" s="130" t="s">
        <v>333</v>
      </c>
      <c r="C111" s="112"/>
      <c r="D111" s="146" t="e">
        <f>(#REF!+#REF!+#REF!+#REF!+#REF!+#REF!-#REF!)/(#REF!+#REF!)*360</f>
        <v>#REF!</v>
      </c>
      <c r="E111" s="146" t="e">
        <f>(#REF!+#REF!+#REF!+#REF!+#REF!+#REF!-#REF!)/(#REF!+#REF!)*360</f>
        <v>#REF!</v>
      </c>
      <c r="F111" s="146" t="e">
        <f>(#REF!+#REF!+#REF!+#REF!+#REF!+#REF!-#REF!)/(#REF!+#REF!)*360</f>
        <v>#REF!</v>
      </c>
      <c r="G111" s="146" t="e">
        <f>(#REF!+#REF!+#REF!+#REF!+#REF!+#REF!-#REF!)/(#REF!+#REF!)*360</f>
        <v>#REF!</v>
      </c>
      <c r="H111" s="146" t="e">
        <f>(#REF!+#REF!+#REF!+#REF!+#REF!+#REF!-#REF!)/(#REF!+#REF!)*360</f>
        <v>#REF!</v>
      </c>
      <c r="I111" s="146" t="e">
        <f>(#REF!+#REF!+#REF!+#REF!+#REF!+#REF!-#REF!)/(#REF!+#REF!)*360</f>
        <v>#REF!</v>
      </c>
      <c r="J111" s="146" t="e">
        <f>(#REF!+#REF!+#REF!+#REF!+#REF!+#REF!-#REF!)/(#REF!+#REF!)*360</f>
        <v>#REF!</v>
      </c>
    </row>
    <row r="112" spans="1:25" ht="15" customHeight="1" x14ac:dyDescent="0.25">
      <c r="B112" s="136" t="s">
        <v>331</v>
      </c>
      <c r="C112" s="112"/>
      <c r="D112" s="145" t="e">
        <f>(#REF!+#REF!+#REF!)/(#REF!+#REF!)*360</f>
        <v>#REF!</v>
      </c>
      <c r="E112" s="145" t="e">
        <f>(#REF!+#REF!+#REF!)/(#REF!+#REF!)*360</f>
        <v>#REF!</v>
      </c>
      <c r="F112" s="145" t="e">
        <f>(#REF!+#REF!+#REF!)/(#REF!+#REF!)*360</f>
        <v>#REF!</v>
      </c>
      <c r="G112" s="145" t="e">
        <f>(#REF!+#REF!+#REF!)/(#REF!+#REF!)*360</f>
        <v>#REF!</v>
      </c>
      <c r="H112" s="145" t="e">
        <f>(#REF!+#REF!+#REF!)/(#REF!+#REF!)*360</f>
        <v>#REF!</v>
      </c>
      <c r="I112" s="145" t="e">
        <f>(#REF!+#REF!+#REF!)/(#REF!+#REF!)*360</f>
        <v>#REF!</v>
      </c>
      <c r="J112" s="145" t="e">
        <f>(#REF!+#REF!+#REF!)/(#REF!+#REF!)*360</f>
        <v>#REF!</v>
      </c>
    </row>
    <row r="113" spans="1:29" ht="15" customHeight="1" x14ac:dyDescent="0.25">
      <c r="B113" s="136" t="s">
        <v>332</v>
      </c>
      <c r="C113" s="112"/>
      <c r="D113" s="145" t="e">
        <f>(#REF!)/(#REF!)*360</f>
        <v>#REF!</v>
      </c>
      <c r="E113" s="145" t="e">
        <f>(#REF!)/(#REF!)*360</f>
        <v>#REF!</v>
      </c>
      <c r="F113" s="145" t="e">
        <f>(#REF!)/(#REF!)*360</f>
        <v>#REF!</v>
      </c>
      <c r="G113" s="145" t="e">
        <f>(#REF!)/(#REF!)*360</f>
        <v>#REF!</v>
      </c>
      <c r="H113" s="145" t="e">
        <f>(#REF!)/(#REF!)*360</f>
        <v>#REF!</v>
      </c>
      <c r="I113" s="145" t="e">
        <f>(#REF!)/(#REF!)*360</f>
        <v>#REF!</v>
      </c>
      <c r="J113" s="145" t="e">
        <f>(#REF!)/(#REF!)*360</f>
        <v>#REF!</v>
      </c>
    </row>
    <row r="114" spans="1:29" ht="15" customHeight="1" x14ac:dyDescent="0.25">
      <c r="B114" s="126" t="s">
        <v>334</v>
      </c>
      <c r="C114" s="112"/>
      <c r="D114" s="147" t="e">
        <f>(#REF!+#REF!+#REF!+#REF!)/(#REF!+#REF!+#REF!)*360</f>
        <v>#REF!</v>
      </c>
      <c r="E114" s="147" t="e">
        <f>(#REF!+#REF!+#REF!+#REF!)/(#REF!+#REF!+#REF!)*360</f>
        <v>#REF!</v>
      </c>
      <c r="F114" s="147" t="e">
        <f>(#REF!+#REF!+#REF!+#REF!)/(#REF!+#REF!+#REF!)*360</f>
        <v>#REF!</v>
      </c>
      <c r="G114" s="147" t="e">
        <f>(#REF!+#REF!+#REF!+#REF!)/(#REF!+#REF!+#REF!)*360</f>
        <v>#REF!</v>
      </c>
      <c r="H114" s="147" t="e">
        <f>(#REF!+#REF!+#REF!+#REF!)/(#REF!+#REF!+#REF!)*360</f>
        <v>#REF!</v>
      </c>
      <c r="I114" s="147" t="e">
        <f>(#REF!+#REF!+#REF!+#REF!)/(#REF!+#REF!+#REF!)*360</f>
        <v>#REF!</v>
      </c>
      <c r="J114" s="147" t="e">
        <f>(#REF!+#REF!+#REF!+#REF!)/(#REF!+#REF!+#REF!)*360</f>
        <v>#REF!</v>
      </c>
    </row>
    <row r="117" spans="1:29" ht="15" customHeight="1" x14ac:dyDescent="0.25">
      <c r="A117" s="202" t="s">
        <v>368</v>
      </c>
      <c r="B117" s="364" t="s">
        <v>369</v>
      </c>
      <c r="C117" s="364"/>
      <c r="D117" s="364"/>
      <c r="E117" s="364"/>
      <c r="F117" s="364"/>
      <c r="G117" s="364"/>
      <c r="H117" s="364"/>
      <c r="I117" s="364"/>
      <c r="J117" s="364"/>
      <c r="K117" s="364"/>
      <c r="L117" s="364"/>
      <c r="M117" s="364"/>
      <c r="N117" s="364"/>
      <c r="O117" s="364"/>
      <c r="P117" s="364"/>
      <c r="Q117" s="364"/>
      <c r="R117" s="364"/>
      <c r="S117" s="364"/>
      <c r="T117" s="364"/>
      <c r="U117" s="364"/>
      <c r="V117" s="364"/>
      <c r="W117" s="364"/>
      <c r="X117" s="364"/>
      <c r="Y117" s="202" t="s">
        <v>368</v>
      </c>
      <c r="Z117" s="364" t="s">
        <v>369</v>
      </c>
      <c r="AA117" s="364"/>
      <c r="AB117" s="364"/>
      <c r="AC117" s="364"/>
    </row>
    <row r="118" spans="1:29" ht="15" customHeight="1" x14ac:dyDescent="0.25">
      <c r="B118" s="7"/>
    </row>
    <row r="119" spans="1:29" ht="15" customHeight="1" x14ac:dyDescent="0.25">
      <c r="B119" s="33" t="str">
        <f>B133</f>
        <v>F3E 2020</v>
      </c>
      <c r="C119" s="63" t="s">
        <v>0</v>
      </c>
      <c r="D119" s="62" t="s">
        <v>134</v>
      </c>
      <c r="E119" s="62" t="s">
        <v>135</v>
      </c>
      <c r="G119" s="33" t="str">
        <f>B133</f>
        <v>F3E 2020</v>
      </c>
      <c r="H119" s="63" t="s">
        <v>0</v>
      </c>
      <c r="I119" s="62" t="s">
        <v>134</v>
      </c>
      <c r="J119" s="62" t="s">
        <v>135</v>
      </c>
    </row>
    <row r="120" spans="1:29" ht="15" customHeight="1" x14ac:dyDescent="0.25">
      <c r="B120" s="58" t="s">
        <v>140</v>
      </c>
      <c r="C120" s="61" t="e">
        <f>D120+E120</f>
        <v>#REF!</v>
      </c>
      <c r="D120" s="59" t="e">
        <f>D44</f>
        <v>#REF!</v>
      </c>
      <c r="E120" s="60" t="e">
        <f>I44</f>
        <v>#REF!</v>
      </c>
      <c r="G120" s="58" t="s">
        <v>141</v>
      </c>
      <c r="H120" s="61" t="e">
        <f>I120+J120</f>
        <v>#REF!</v>
      </c>
      <c r="I120" s="59" t="e">
        <f>D45</f>
        <v>#REF!</v>
      </c>
      <c r="J120" s="60" t="e">
        <f>I45</f>
        <v>#REF!</v>
      </c>
    </row>
    <row r="121" spans="1:29" ht="15" customHeight="1" x14ac:dyDescent="0.25">
      <c r="B121" s="57" t="s">
        <v>143</v>
      </c>
      <c r="C121" s="30">
        <f>D121+E121</f>
        <v>8.3280487804878049</v>
      </c>
      <c r="D121" s="30">
        <v>5.3487804878048779</v>
      </c>
      <c r="E121" s="30">
        <v>2.979268292682927</v>
      </c>
      <c r="G121" s="57" t="s">
        <v>143</v>
      </c>
      <c r="H121" s="30">
        <f>I121+J121</f>
        <v>8.3280487804878049</v>
      </c>
      <c r="I121" s="30">
        <v>5.3487804878048779</v>
      </c>
      <c r="J121" s="30">
        <v>2.979268292682927</v>
      </c>
      <c r="L121" s="84"/>
      <c r="M121" s="91"/>
    </row>
    <row r="122" spans="1:29" ht="15" customHeight="1" x14ac:dyDescent="0.25">
      <c r="B122" s="58" t="s">
        <v>53</v>
      </c>
      <c r="C122" s="61" t="e">
        <f>C120/C121</f>
        <v>#REF!</v>
      </c>
      <c r="D122" s="59" t="e">
        <f t="shared" ref="D122:E122" si="9">D120/D121</f>
        <v>#REF!</v>
      </c>
      <c r="E122" s="60" t="e">
        <f t="shared" si="9"/>
        <v>#REF!</v>
      </c>
      <c r="G122" s="58" t="s">
        <v>136</v>
      </c>
      <c r="H122" s="61" t="e">
        <f>H120/H121</f>
        <v>#REF!</v>
      </c>
      <c r="I122" s="59" t="e">
        <f t="shared" ref="I122" si="10">I120/I121</f>
        <v>#REF!</v>
      </c>
      <c r="J122" s="60" t="e">
        <f t="shared" ref="J122" si="11">J120/J121</f>
        <v>#REF!</v>
      </c>
      <c r="L122" s="84"/>
      <c r="M122" s="91"/>
    </row>
    <row r="123" spans="1:29" ht="15" customHeight="1" x14ac:dyDescent="0.25">
      <c r="B123" s="27"/>
      <c r="C123" s="27" t="s">
        <v>0</v>
      </c>
      <c r="D123" s="28" t="s">
        <v>134</v>
      </c>
      <c r="E123" s="28" t="s">
        <v>135</v>
      </c>
      <c r="G123" s="27"/>
      <c r="H123" s="27" t="s">
        <v>0</v>
      </c>
      <c r="I123" s="28" t="s">
        <v>134</v>
      </c>
      <c r="J123" s="28" t="s">
        <v>135</v>
      </c>
      <c r="L123" s="84"/>
      <c r="M123" s="91"/>
      <c r="N123" s="16"/>
    </row>
    <row r="124" spans="1:29" ht="15" customHeight="1" x14ac:dyDescent="0.25">
      <c r="B124" s="58" t="s">
        <v>144</v>
      </c>
      <c r="C124" s="29">
        <f>D124+E124</f>
        <v>1216.25</v>
      </c>
      <c r="D124" s="31">
        <v>764</v>
      </c>
      <c r="E124" s="32">
        <v>452.25</v>
      </c>
      <c r="G124" s="58" t="s">
        <v>144</v>
      </c>
      <c r="H124" s="29">
        <f>I124+J124</f>
        <v>1216.25</v>
      </c>
      <c r="I124" s="31">
        <v>764</v>
      </c>
      <c r="J124" s="32">
        <v>452.25</v>
      </c>
      <c r="L124" s="84"/>
      <c r="M124" s="91"/>
      <c r="N124" s="16"/>
    </row>
    <row r="125" spans="1:29" ht="15" customHeight="1" x14ac:dyDescent="0.25">
      <c r="B125" s="57" t="s">
        <v>143</v>
      </c>
      <c r="C125" s="30">
        <f>D125+E125</f>
        <v>8.3280487804878049</v>
      </c>
      <c r="D125" s="30">
        <v>5.3487804878048779</v>
      </c>
      <c r="E125" s="30">
        <v>2.979268292682927</v>
      </c>
      <c r="G125" s="57" t="s">
        <v>143</v>
      </c>
      <c r="H125" s="30">
        <f>I125+J125</f>
        <v>8.3280487804878049</v>
      </c>
      <c r="I125" s="30">
        <v>5.3487804878048779</v>
      </c>
      <c r="J125" s="30">
        <v>2.979268292682927</v>
      </c>
      <c r="L125" s="21"/>
      <c r="M125" s="22"/>
      <c r="N125" s="16"/>
    </row>
    <row r="126" spans="1:29" ht="15" customHeight="1" x14ac:dyDescent="0.25">
      <c r="B126" s="58" t="s">
        <v>133</v>
      </c>
      <c r="C126" s="29">
        <f>C124/C125</f>
        <v>146.04261238834383</v>
      </c>
      <c r="D126" s="31">
        <f t="shared" ref="D126:E126" si="12">D124/D125</f>
        <v>142.83629730962153</v>
      </c>
      <c r="E126" s="32">
        <f t="shared" si="12"/>
        <v>151.79901760130986</v>
      </c>
      <c r="G126" s="58" t="s">
        <v>133</v>
      </c>
      <c r="H126" s="29">
        <f>H124/H125</f>
        <v>146.04261238834383</v>
      </c>
      <c r="I126" s="31">
        <f t="shared" ref="I126" si="13">I124/I125</f>
        <v>142.83629730962153</v>
      </c>
      <c r="J126" s="32">
        <f t="shared" ref="J126" si="14">J124/J125</f>
        <v>151.79901760130986</v>
      </c>
      <c r="L126" s="84"/>
      <c r="M126" s="91"/>
      <c r="N126" s="16"/>
    </row>
    <row r="127" spans="1:29" ht="15" customHeight="1" x14ac:dyDescent="0.25">
      <c r="B127" s="27"/>
      <c r="C127" s="27" t="s">
        <v>0</v>
      </c>
      <c r="D127" s="28" t="s">
        <v>134</v>
      </c>
      <c r="E127" s="28" t="s">
        <v>135</v>
      </c>
      <c r="G127" s="27"/>
      <c r="H127" s="27" t="s">
        <v>0</v>
      </c>
      <c r="I127" s="28" t="s">
        <v>134</v>
      </c>
      <c r="J127" s="28" t="s">
        <v>135</v>
      </c>
      <c r="L127" s="84"/>
      <c r="M127" s="91"/>
    </row>
    <row r="128" spans="1:29" ht="15" customHeight="1" x14ac:dyDescent="0.25">
      <c r="B128" s="58" t="str">
        <f>B122</f>
        <v>MS</v>
      </c>
      <c r="C128" s="61" t="e">
        <f>C122</f>
        <v>#REF!</v>
      </c>
      <c r="D128" s="59" t="e">
        <f>D122</f>
        <v>#REF!</v>
      </c>
      <c r="E128" s="60" t="e">
        <f>E122</f>
        <v>#REF!</v>
      </c>
      <c r="G128" s="58" t="str">
        <f>G122</f>
        <v>CS</v>
      </c>
      <c r="H128" s="61" t="e">
        <f>H122</f>
        <v>#REF!</v>
      </c>
      <c r="I128" s="59" t="e">
        <f>I122</f>
        <v>#REF!</v>
      </c>
      <c r="J128" s="60" t="e">
        <f>J122</f>
        <v>#REF!</v>
      </c>
      <c r="L128" s="84"/>
      <c r="M128" s="91"/>
    </row>
    <row r="129" spans="2:33" ht="15" customHeight="1" x14ac:dyDescent="0.25">
      <c r="B129" s="57" t="str">
        <f>B126</f>
        <v>AO</v>
      </c>
      <c r="C129" s="30">
        <f>C126</f>
        <v>146.04261238834383</v>
      </c>
      <c r="D129" s="30">
        <f>D126</f>
        <v>142.83629730962153</v>
      </c>
      <c r="E129" s="30">
        <f>E126</f>
        <v>151.79901760130986</v>
      </c>
      <c r="G129" s="57" t="str">
        <f>G126</f>
        <v>AO</v>
      </c>
      <c r="H129" s="30">
        <f>H126</f>
        <v>146.04261238834383</v>
      </c>
      <c r="I129" s="30">
        <f>I126</f>
        <v>142.83629730962153</v>
      </c>
      <c r="J129" s="30">
        <f>J126</f>
        <v>151.79901760130986</v>
      </c>
      <c r="L129" s="19"/>
      <c r="M129" s="20"/>
    </row>
    <row r="130" spans="2:33" ht="15" customHeight="1" x14ac:dyDescent="0.25">
      <c r="B130" s="58" t="s">
        <v>54</v>
      </c>
      <c r="C130" s="61" t="e">
        <f>C128/C129</f>
        <v>#REF!</v>
      </c>
      <c r="D130" s="59" t="e">
        <f t="shared" ref="D130" si="15">D128/D129</f>
        <v>#REF!</v>
      </c>
      <c r="E130" s="60" t="e">
        <f t="shared" ref="E130" si="16">E128/E129</f>
        <v>#REF!</v>
      </c>
      <c r="G130" s="58" t="s">
        <v>142</v>
      </c>
      <c r="H130" s="61" t="e">
        <f>H128/H129</f>
        <v>#REF!</v>
      </c>
      <c r="I130" s="59" t="e">
        <f t="shared" ref="I130" si="17">I128/I129</f>
        <v>#REF!</v>
      </c>
      <c r="J130" s="60" t="e">
        <f t="shared" ref="J130" si="18">J128/J129</f>
        <v>#REF!</v>
      </c>
      <c r="L130" s="21"/>
      <c r="M130" s="22"/>
    </row>
    <row r="131" spans="2:33" ht="15" customHeight="1" x14ac:dyDescent="0.25">
      <c r="B131" s="7"/>
    </row>
    <row r="132" spans="2:33" ht="15" customHeight="1" x14ac:dyDescent="0.25">
      <c r="E132" s="82" t="s">
        <v>29</v>
      </c>
      <c r="F132" s="82" t="s">
        <v>318</v>
      </c>
      <c r="G132" s="82" t="s">
        <v>30</v>
      </c>
      <c r="H132" s="82" t="s">
        <v>31</v>
      </c>
      <c r="I132" s="82" t="s">
        <v>32</v>
      </c>
      <c r="J132" s="82" t="s">
        <v>33</v>
      </c>
      <c r="K132" s="82" t="s">
        <v>34</v>
      </c>
      <c r="L132" s="82" t="s">
        <v>319</v>
      </c>
      <c r="M132" s="82" t="s">
        <v>35</v>
      </c>
      <c r="N132" s="82" t="s">
        <v>322</v>
      </c>
      <c r="O132" s="82" t="s">
        <v>154</v>
      </c>
      <c r="P132" s="83" t="s">
        <v>48</v>
      </c>
      <c r="Q132" s="83" t="s">
        <v>49</v>
      </c>
      <c r="R132" s="83" t="s">
        <v>149</v>
      </c>
      <c r="S132" s="83" t="s">
        <v>152</v>
      </c>
      <c r="T132" s="82" t="s">
        <v>150</v>
      </c>
      <c r="U132" s="83" t="s">
        <v>40</v>
      </c>
      <c r="V132" s="83" t="s">
        <v>41</v>
      </c>
      <c r="W132" s="83" t="s">
        <v>153</v>
      </c>
      <c r="X132" s="82" t="s">
        <v>151</v>
      </c>
      <c r="AG132" s="81"/>
    </row>
    <row r="133" spans="2:33" ht="15" customHeight="1" x14ac:dyDescent="0.25">
      <c r="B133" s="33" t="s">
        <v>137</v>
      </c>
      <c r="C133" s="34"/>
      <c r="D133" s="62" t="s">
        <v>138</v>
      </c>
      <c r="E133" s="78" t="s">
        <v>156</v>
      </c>
      <c r="F133" s="79" t="s">
        <v>317</v>
      </c>
      <c r="G133" s="78" t="s">
        <v>80</v>
      </c>
      <c r="H133" s="78" t="s">
        <v>44</v>
      </c>
      <c r="I133" s="78" t="s">
        <v>146</v>
      </c>
      <c r="J133" s="78" t="s">
        <v>155</v>
      </c>
      <c r="K133" s="78" t="s">
        <v>50</v>
      </c>
      <c r="L133" s="79" t="s">
        <v>320</v>
      </c>
      <c r="M133" s="78" t="s">
        <v>157</v>
      </c>
      <c r="N133" s="79" t="s">
        <v>321</v>
      </c>
      <c r="O133" s="79" t="s">
        <v>78</v>
      </c>
      <c r="P133" s="78" t="s">
        <v>43</v>
      </c>
      <c r="Q133" s="78" t="s">
        <v>145</v>
      </c>
      <c r="R133" s="78" t="s">
        <v>50</v>
      </c>
      <c r="S133" s="80" t="s">
        <v>312</v>
      </c>
      <c r="T133" s="79" t="s">
        <v>147</v>
      </c>
      <c r="U133" s="78" t="s">
        <v>54</v>
      </c>
      <c r="V133" s="78" t="s">
        <v>142</v>
      </c>
      <c r="W133" s="80" t="s">
        <v>313</v>
      </c>
      <c r="X133" s="79" t="s">
        <v>148</v>
      </c>
      <c r="Z133" s="33" t="s">
        <v>137</v>
      </c>
      <c r="AA133" s="34"/>
      <c r="AB133" s="78" t="s">
        <v>139</v>
      </c>
      <c r="AC133" s="78" t="s">
        <v>118</v>
      </c>
    </row>
    <row r="134" spans="2:33" ht="15" customHeight="1" x14ac:dyDescent="0.25">
      <c r="B134" s="40" t="s">
        <v>84</v>
      </c>
      <c r="C134" s="41"/>
      <c r="D134" s="64">
        <f t="shared" ref="D134:M134" si="19">D135+D139</f>
        <v>316.48197806024723</v>
      </c>
      <c r="E134" s="71" t="e">
        <f t="shared" ref="E134:L134" si="20">E135+E139</f>
        <v>#REF!</v>
      </c>
      <c r="F134" s="71" t="e">
        <f t="shared" si="20"/>
        <v>#REF!</v>
      </c>
      <c r="G134" s="71">
        <f t="shared" si="20"/>
        <v>0</v>
      </c>
      <c r="H134" s="71">
        <f t="shared" si="20"/>
        <v>0</v>
      </c>
      <c r="I134" s="71" t="e">
        <f t="shared" si="20"/>
        <v>#REF!</v>
      </c>
      <c r="J134" s="71">
        <f t="shared" si="20"/>
        <v>0</v>
      </c>
      <c r="K134" s="71">
        <f t="shared" si="20"/>
        <v>56775</v>
      </c>
      <c r="L134" s="71" t="e">
        <f t="shared" si="20"/>
        <v>#REF!</v>
      </c>
      <c r="M134" s="71">
        <f t="shared" si="19"/>
        <v>0</v>
      </c>
      <c r="N134" s="71">
        <f t="shared" ref="N134:X134" si="21">N135+N139</f>
        <v>0</v>
      </c>
      <c r="O134" s="71" t="e">
        <f t="shared" si="21"/>
        <v>#REF!</v>
      </c>
      <c r="P134" s="71" t="e">
        <f t="shared" si="21"/>
        <v>#REF!</v>
      </c>
      <c r="Q134" s="71" t="e">
        <f t="shared" si="21"/>
        <v>#REF!</v>
      </c>
      <c r="R134" s="71">
        <f t="shared" si="21"/>
        <v>56775</v>
      </c>
      <c r="S134" s="71" t="e">
        <f t="shared" si="21"/>
        <v>#REF!</v>
      </c>
      <c r="T134" s="71" t="e">
        <f t="shared" si="21"/>
        <v>#REF!</v>
      </c>
      <c r="U134" s="71" t="e">
        <f t="shared" si="21"/>
        <v>#REF!</v>
      </c>
      <c r="V134" s="71" t="e">
        <f t="shared" si="21"/>
        <v>#REF!</v>
      </c>
      <c r="W134" s="71" t="e">
        <f t="shared" si="21"/>
        <v>#REF!</v>
      </c>
      <c r="X134" s="71" t="e">
        <f t="shared" si="21"/>
        <v>#REF!</v>
      </c>
      <c r="Z134" s="40" t="s">
        <v>84</v>
      </c>
      <c r="AA134" s="41"/>
      <c r="AB134" s="71" t="e">
        <f>AB135+AB139</f>
        <v>#REF!</v>
      </c>
      <c r="AC134" s="64">
        <f>AC135+AC139</f>
        <v>19.106978060247258</v>
      </c>
    </row>
    <row r="135" spans="2:33" ht="15" customHeight="1" x14ac:dyDescent="0.25">
      <c r="B135" s="35" t="s">
        <v>85</v>
      </c>
      <c r="C135" s="36"/>
      <c r="D135" s="65">
        <f t="shared" ref="D135:M135" si="22">D136+D137+D138</f>
        <v>268.590632073829</v>
      </c>
      <c r="E135" s="72" t="e">
        <f t="shared" ref="E135:L135" si="23">E136+E137+E138</f>
        <v>#REF!</v>
      </c>
      <c r="F135" s="72" t="e">
        <f t="shared" si="23"/>
        <v>#REF!</v>
      </c>
      <c r="G135" s="72">
        <f t="shared" si="23"/>
        <v>0</v>
      </c>
      <c r="H135" s="72">
        <f t="shared" si="23"/>
        <v>0</v>
      </c>
      <c r="I135" s="72" t="e">
        <f t="shared" si="23"/>
        <v>#REF!</v>
      </c>
      <c r="J135" s="72">
        <f t="shared" si="23"/>
        <v>0</v>
      </c>
      <c r="K135" s="72">
        <f t="shared" si="23"/>
        <v>11100</v>
      </c>
      <c r="L135" s="72" t="e">
        <f t="shared" si="23"/>
        <v>#REF!</v>
      </c>
      <c r="M135" s="72">
        <f t="shared" si="22"/>
        <v>0</v>
      </c>
      <c r="N135" s="72">
        <f t="shared" ref="N135:X135" si="24">N136+N137+N138</f>
        <v>0</v>
      </c>
      <c r="O135" s="72" t="e">
        <f t="shared" si="24"/>
        <v>#REF!</v>
      </c>
      <c r="P135" s="72" t="e">
        <f t="shared" si="24"/>
        <v>#REF!</v>
      </c>
      <c r="Q135" s="72" t="e">
        <f t="shared" si="24"/>
        <v>#REF!</v>
      </c>
      <c r="R135" s="72">
        <f t="shared" si="24"/>
        <v>11100</v>
      </c>
      <c r="S135" s="72" t="e">
        <f t="shared" si="24"/>
        <v>#REF!</v>
      </c>
      <c r="T135" s="72" t="e">
        <f t="shared" si="24"/>
        <v>#REF!</v>
      </c>
      <c r="U135" s="72" t="e">
        <f t="shared" si="24"/>
        <v>#REF!</v>
      </c>
      <c r="V135" s="72" t="e">
        <f t="shared" si="24"/>
        <v>#REF!</v>
      </c>
      <c r="W135" s="72" t="e">
        <f t="shared" si="24"/>
        <v>#REF!</v>
      </c>
      <c r="X135" s="72" t="e">
        <f t="shared" si="24"/>
        <v>#REF!</v>
      </c>
      <c r="Z135" s="35" t="s">
        <v>85</v>
      </c>
      <c r="AA135" s="36"/>
      <c r="AB135" s="72" t="e">
        <f>AB136+AB137+AB138</f>
        <v>#REF!</v>
      </c>
      <c r="AC135" s="65">
        <f>AC136+AC137+AC138</f>
        <v>16.21563207382901</v>
      </c>
    </row>
    <row r="136" spans="2:33" ht="15" customHeight="1" x14ac:dyDescent="0.25">
      <c r="B136" s="42" t="s">
        <v>86</v>
      </c>
      <c r="C136" s="43"/>
      <c r="D136" s="68">
        <f>13+AC136</f>
        <v>13.835277729409716</v>
      </c>
      <c r="E136" s="73" t="e">
        <f>(P136+Q136+R136+U136+V136)*$C$168</f>
        <v>#REF!</v>
      </c>
      <c r="F136" s="73" t="e">
        <f>E136</f>
        <v>#REF!</v>
      </c>
      <c r="G136" s="73">
        <v>0</v>
      </c>
      <c r="H136" s="73">
        <v>0</v>
      </c>
      <c r="I136" s="73" t="e">
        <f>#REF!</f>
        <v>#REF!</v>
      </c>
      <c r="J136" s="73">
        <v>0</v>
      </c>
      <c r="K136" s="73">
        <f>R136</f>
        <v>0</v>
      </c>
      <c r="L136" s="73" t="e">
        <f>G136+H136+I136+J136+K136</f>
        <v>#REF!</v>
      </c>
      <c r="M136" s="73">
        <v>0</v>
      </c>
      <c r="N136" s="73">
        <f>M136</f>
        <v>0</v>
      </c>
      <c r="O136" s="73" t="e">
        <f>F136+L136+N136</f>
        <v>#REF!</v>
      </c>
      <c r="P136" s="73" t="e">
        <f>251856+#REF!</f>
        <v>#REF!</v>
      </c>
      <c r="Q136" s="73" t="e">
        <f>0+AB136</f>
        <v>#REF!</v>
      </c>
      <c r="R136" s="73">
        <v>0</v>
      </c>
      <c r="S136" s="73" t="e">
        <f>P136+Q136+R136</f>
        <v>#REF!</v>
      </c>
      <c r="T136" s="73" t="e">
        <f>O136-S136</f>
        <v>#REF!</v>
      </c>
      <c r="U136" s="73" t="e">
        <f>D136*$D$130</f>
        <v>#REF!</v>
      </c>
      <c r="V136" s="73" t="e">
        <f>D136*$I$130</f>
        <v>#REF!</v>
      </c>
      <c r="W136" s="73" t="e">
        <f>U136+V136</f>
        <v>#REF!</v>
      </c>
      <c r="X136" s="73" t="e">
        <f>T136-W136</f>
        <v>#REF!</v>
      </c>
      <c r="Z136" s="42" t="s">
        <v>86</v>
      </c>
      <c r="AA136" s="43"/>
      <c r="AB136" s="73" t="e">
        <f>$AB$168/$D$168*D136</f>
        <v>#REF!</v>
      </c>
      <c r="AC136" s="68">
        <v>0.83527772940971612</v>
      </c>
    </row>
    <row r="137" spans="2:33" ht="15" customHeight="1" x14ac:dyDescent="0.25">
      <c r="B137" s="44" t="s">
        <v>87</v>
      </c>
      <c r="C137" s="45"/>
      <c r="D137" s="69">
        <f>19.25+AC137</f>
        <v>20.486853560856694</v>
      </c>
      <c r="E137" s="74" t="e">
        <f>(P137+Q137+R137+U137+V137)*$C$168</f>
        <v>#REF!</v>
      </c>
      <c r="F137" s="74" t="e">
        <f t="shared" ref="F137:F138" si="25">E137</f>
        <v>#REF!</v>
      </c>
      <c r="G137" s="74">
        <v>0</v>
      </c>
      <c r="H137" s="74">
        <v>0</v>
      </c>
      <c r="I137" s="74">
        <v>0</v>
      </c>
      <c r="J137" s="74">
        <v>0</v>
      </c>
      <c r="K137" s="74">
        <f>R137</f>
        <v>11100</v>
      </c>
      <c r="L137" s="74">
        <f t="shared" ref="L137:L138" si="26">G137+H137+I137+J137+K137</f>
        <v>11100</v>
      </c>
      <c r="M137" s="74">
        <v>0</v>
      </c>
      <c r="N137" s="74">
        <f t="shared" ref="N137:N138" si="27">M137</f>
        <v>0</v>
      </c>
      <c r="O137" s="74" t="e">
        <f t="shared" ref="O137:O138" si="28">F137+L137+N137</f>
        <v>#REF!</v>
      </c>
      <c r="P137" s="74">
        <v>0</v>
      </c>
      <c r="Q137" s="74" t="e">
        <f>103+AB137</f>
        <v>#REF!</v>
      </c>
      <c r="R137" s="74">
        <v>11100</v>
      </c>
      <c r="S137" s="74" t="e">
        <f>P137+Q137+R137</f>
        <v>#REF!</v>
      </c>
      <c r="T137" s="74" t="e">
        <f>O137-S137</f>
        <v>#REF!</v>
      </c>
      <c r="U137" s="74" t="e">
        <f>D137*$D$130</f>
        <v>#REF!</v>
      </c>
      <c r="V137" s="74" t="e">
        <f>D137*$I$130</f>
        <v>#REF!</v>
      </c>
      <c r="W137" s="74" t="e">
        <f>U137+V137</f>
        <v>#REF!</v>
      </c>
      <c r="X137" s="74" t="e">
        <f t="shared" ref="X137:X138" si="29">T137-W137</f>
        <v>#REF!</v>
      </c>
      <c r="Z137" s="44" t="s">
        <v>87</v>
      </c>
      <c r="AA137" s="45"/>
      <c r="AB137" s="74" t="e">
        <f>$AB$168/$D$168*D137</f>
        <v>#REF!</v>
      </c>
      <c r="AC137" s="69">
        <v>1.2368535608566951</v>
      </c>
    </row>
    <row r="138" spans="2:33" ht="15" customHeight="1" x14ac:dyDescent="0.25">
      <c r="B138" s="42" t="s">
        <v>88</v>
      </c>
      <c r="C138" s="43"/>
      <c r="D138" s="68">
        <f>220.125+AC138</f>
        <v>234.26850078356259</v>
      </c>
      <c r="E138" s="73" t="e">
        <f>(P138+Q138+R138+U138+V138)*$C$168</f>
        <v>#REF!</v>
      </c>
      <c r="F138" s="73" t="e">
        <f t="shared" si="25"/>
        <v>#REF!</v>
      </c>
      <c r="G138" s="73">
        <v>0</v>
      </c>
      <c r="H138" s="73">
        <v>0</v>
      </c>
      <c r="I138" s="73">
        <v>0</v>
      </c>
      <c r="J138" s="73">
        <v>0</v>
      </c>
      <c r="K138" s="73">
        <f>R138</f>
        <v>0</v>
      </c>
      <c r="L138" s="73">
        <f t="shared" si="26"/>
        <v>0</v>
      </c>
      <c r="M138" s="73">
        <v>0</v>
      </c>
      <c r="N138" s="73">
        <f t="shared" si="27"/>
        <v>0</v>
      </c>
      <c r="O138" s="73" t="e">
        <f t="shared" si="28"/>
        <v>#REF!</v>
      </c>
      <c r="P138" s="73">
        <v>0</v>
      </c>
      <c r="Q138" s="73" t="e">
        <f>0+AB138</f>
        <v>#REF!</v>
      </c>
      <c r="R138" s="73">
        <v>0</v>
      </c>
      <c r="S138" s="73" t="e">
        <f>P138+Q138+R138</f>
        <v>#REF!</v>
      </c>
      <c r="T138" s="73" t="e">
        <f>O138-S138</f>
        <v>#REF!</v>
      </c>
      <c r="U138" s="73" t="e">
        <f>D138*$D$130</f>
        <v>#REF!</v>
      </c>
      <c r="V138" s="73" t="e">
        <f>D138*$I$130</f>
        <v>#REF!</v>
      </c>
      <c r="W138" s="73" t="e">
        <f>U138+V138</f>
        <v>#REF!</v>
      </c>
      <c r="X138" s="73" t="e">
        <f t="shared" si="29"/>
        <v>#REF!</v>
      </c>
      <c r="Z138" s="42" t="s">
        <v>88</v>
      </c>
      <c r="AA138" s="43"/>
      <c r="AB138" s="73" t="e">
        <f>$AB$168/$D$168*D138</f>
        <v>#REF!</v>
      </c>
      <c r="AC138" s="68">
        <v>14.143500783562597</v>
      </c>
    </row>
    <row r="139" spans="2:33" ht="15" customHeight="1" x14ac:dyDescent="0.25">
      <c r="B139" s="35" t="s">
        <v>89</v>
      </c>
      <c r="C139" s="37"/>
      <c r="D139" s="65">
        <f t="shared" ref="D139:M139" si="30">D140+D141+D142</f>
        <v>47.891345986418244</v>
      </c>
      <c r="E139" s="72" t="e">
        <f t="shared" ref="E139:L139" si="31">E140+E141+E142</f>
        <v>#REF!</v>
      </c>
      <c r="F139" s="72" t="e">
        <f t="shared" si="31"/>
        <v>#REF!</v>
      </c>
      <c r="G139" s="72">
        <f t="shared" si="31"/>
        <v>0</v>
      </c>
      <c r="H139" s="72">
        <f t="shared" si="31"/>
        <v>0</v>
      </c>
      <c r="I139" s="72">
        <f t="shared" si="31"/>
        <v>0</v>
      </c>
      <c r="J139" s="72">
        <f t="shared" si="31"/>
        <v>0</v>
      </c>
      <c r="K139" s="72">
        <f t="shared" si="31"/>
        <v>45675</v>
      </c>
      <c r="L139" s="72">
        <f t="shared" si="31"/>
        <v>45675</v>
      </c>
      <c r="M139" s="72">
        <f t="shared" si="30"/>
        <v>0</v>
      </c>
      <c r="N139" s="72">
        <f t="shared" ref="N139:X139" si="32">N140+N141+N142</f>
        <v>0</v>
      </c>
      <c r="O139" s="72" t="e">
        <f t="shared" si="32"/>
        <v>#REF!</v>
      </c>
      <c r="P139" s="72">
        <f t="shared" si="32"/>
        <v>0</v>
      </c>
      <c r="Q139" s="72" t="e">
        <f t="shared" si="32"/>
        <v>#REF!</v>
      </c>
      <c r="R139" s="72">
        <f t="shared" si="32"/>
        <v>45675</v>
      </c>
      <c r="S139" s="72" t="e">
        <f t="shared" si="32"/>
        <v>#REF!</v>
      </c>
      <c r="T139" s="72" t="e">
        <f t="shared" si="32"/>
        <v>#REF!</v>
      </c>
      <c r="U139" s="72" t="e">
        <f t="shared" si="32"/>
        <v>#REF!</v>
      </c>
      <c r="V139" s="72" t="e">
        <f t="shared" si="32"/>
        <v>#REF!</v>
      </c>
      <c r="W139" s="72" t="e">
        <f t="shared" si="32"/>
        <v>#REF!</v>
      </c>
      <c r="X139" s="72" t="e">
        <f t="shared" si="32"/>
        <v>#REF!</v>
      </c>
      <c r="Z139" s="35" t="s">
        <v>89</v>
      </c>
      <c r="AA139" s="37"/>
      <c r="AB139" s="72" t="e">
        <f>AB140+AB141+AB142</f>
        <v>#REF!</v>
      </c>
      <c r="AC139" s="65">
        <f>AC140+AC141+AC142</f>
        <v>2.8913459864182478</v>
      </c>
    </row>
    <row r="140" spans="2:33" ht="15" customHeight="1" x14ac:dyDescent="0.25">
      <c r="B140" s="42" t="s">
        <v>90</v>
      </c>
      <c r="C140" s="46"/>
      <c r="D140" s="68">
        <f>9+AC140</f>
        <v>9.5782691972836496</v>
      </c>
      <c r="E140" s="73" t="e">
        <f>(P140+Q140+R140+U140+V140)*$C$168</f>
        <v>#REF!</v>
      </c>
      <c r="F140" s="73" t="e">
        <f>E140</f>
        <v>#REF!</v>
      </c>
      <c r="G140" s="73">
        <v>0</v>
      </c>
      <c r="H140" s="73">
        <v>0</v>
      </c>
      <c r="I140" s="73">
        <v>0</v>
      </c>
      <c r="J140" s="73">
        <v>0</v>
      </c>
      <c r="K140" s="73">
        <f>R140</f>
        <v>44325</v>
      </c>
      <c r="L140" s="73">
        <f>G140+H140+I140+J140+K140</f>
        <v>44325</v>
      </c>
      <c r="M140" s="73">
        <v>0</v>
      </c>
      <c r="N140" s="73">
        <f>M140</f>
        <v>0</v>
      </c>
      <c r="O140" s="73" t="e">
        <f>F140+L140+N140</f>
        <v>#REF!</v>
      </c>
      <c r="P140" s="73">
        <v>0</v>
      </c>
      <c r="Q140" s="73" t="e">
        <f>0+AB140</f>
        <v>#REF!</v>
      </c>
      <c r="R140" s="73">
        <v>44325</v>
      </c>
      <c r="S140" s="73" t="e">
        <f>P140+Q140+R140</f>
        <v>#REF!</v>
      </c>
      <c r="T140" s="73" t="e">
        <f>O140-S140</f>
        <v>#REF!</v>
      </c>
      <c r="U140" s="73" t="e">
        <f>D140*$D$130</f>
        <v>#REF!</v>
      </c>
      <c r="V140" s="73" t="e">
        <f>D140*$I$130</f>
        <v>#REF!</v>
      </c>
      <c r="W140" s="73" t="e">
        <f>U140+V140</f>
        <v>#REF!</v>
      </c>
      <c r="X140" s="73" t="e">
        <f>T140-W140</f>
        <v>#REF!</v>
      </c>
      <c r="Z140" s="42" t="s">
        <v>90</v>
      </c>
      <c r="AA140" s="46"/>
      <c r="AB140" s="73" t="e">
        <f>$AB$168/$D$168*D140</f>
        <v>#REF!</v>
      </c>
      <c r="AC140" s="68">
        <v>0.57826919728364967</v>
      </c>
    </row>
    <row r="141" spans="2:33" ht="15" customHeight="1" x14ac:dyDescent="0.25">
      <c r="B141" s="44" t="s">
        <v>91</v>
      </c>
      <c r="C141" s="45"/>
      <c r="D141" s="69">
        <f>2.5+AC141</f>
        <v>2.6606303325787914</v>
      </c>
      <c r="E141" s="74" t="e">
        <f>(P141+Q141+R141+U141+V141)*$C$168</f>
        <v>#REF!</v>
      </c>
      <c r="F141" s="74" t="e">
        <f t="shared" ref="F141:F142" si="33">E141</f>
        <v>#REF!</v>
      </c>
      <c r="G141" s="74">
        <v>0</v>
      </c>
      <c r="H141" s="74">
        <v>0</v>
      </c>
      <c r="I141" s="74">
        <v>0</v>
      </c>
      <c r="J141" s="74">
        <v>0</v>
      </c>
      <c r="K141" s="74">
        <f>R141</f>
        <v>0</v>
      </c>
      <c r="L141" s="74">
        <f t="shared" ref="L141:L142" si="34">G141+H141+I141+J141+K141</f>
        <v>0</v>
      </c>
      <c r="M141" s="74">
        <v>0</v>
      </c>
      <c r="N141" s="74">
        <f t="shared" ref="N141:N142" si="35">M141</f>
        <v>0</v>
      </c>
      <c r="O141" s="74" t="e">
        <f t="shared" ref="O141:O142" si="36">F141+L141+N141</f>
        <v>#REF!</v>
      </c>
      <c r="P141" s="74">
        <v>0</v>
      </c>
      <c r="Q141" s="74" t="e">
        <f>0+AB141</f>
        <v>#REF!</v>
      </c>
      <c r="R141" s="74">
        <v>0</v>
      </c>
      <c r="S141" s="74" t="e">
        <f>P141+Q141+R141</f>
        <v>#REF!</v>
      </c>
      <c r="T141" s="74" t="e">
        <f>O141-S141</f>
        <v>#REF!</v>
      </c>
      <c r="U141" s="74" t="e">
        <f>D141*$D$130</f>
        <v>#REF!</v>
      </c>
      <c r="V141" s="74" t="e">
        <f>D141*$I$130</f>
        <v>#REF!</v>
      </c>
      <c r="W141" s="74" t="e">
        <f>U141+V141</f>
        <v>#REF!</v>
      </c>
      <c r="X141" s="74" t="e">
        <f t="shared" ref="X141:X142" si="37">T141-W141</f>
        <v>#REF!</v>
      </c>
      <c r="Z141" s="44" t="s">
        <v>91</v>
      </c>
      <c r="AA141" s="45"/>
      <c r="AB141" s="74" t="e">
        <f>$AB$168/$D$168*D141</f>
        <v>#REF!</v>
      </c>
      <c r="AC141" s="69">
        <v>0.16063033257879156</v>
      </c>
    </row>
    <row r="142" spans="2:33" ht="15" customHeight="1" x14ac:dyDescent="0.25">
      <c r="B142" s="42" t="s">
        <v>92</v>
      </c>
      <c r="C142" s="46"/>
      <c r="D142" s="68">
        <f>33.5+AC142</f>
        <v>35.652446456555808</v>
      </c>
      <c r="E142" s="73" t="e">
        <f>(P142+Q142+R142+U142+V142)*$C$168</f>
        <v>#REF!</v>
      </c>
      <c r="F142" s="73" t="e">
        <f t="shared" si="33"/>
        <v>#REF!</v>
      </c>
      <c r="G142" s="73">
        <v>0</v>
      </c>
      <c r="H142" s="73">
        <v>0</v>
      </c>
      <c r="I142" s="73">
        <v>0</v>
      </c>
      <c r="J142" s="73">
        <v>0</v>
      </c>
      <c r="K142" s="73">
        <f>R142</f>
        <v>1350</v>
      </c>
      <c r="L142" s="73">
        <f t="shared" si="34"/>
        <v>1350</v>
      </c>
      <c r="M142" s="73">
        <v>0</v>
      </c>
      <c r="N142" s="73">
        <f t="shared" si="35"/>
        <v>0</v>
      </c>
      <c r="O142" s="73" t="e">
        <f t="shared" si="36"/>
        <v>#REF!</v>
      </c>
      <c r="P142" s="73">
        <v>0</v>
      </c>
      <c r="Q142" s="73" t="e">
        <f>936+AB142</f>
        <v>#REF!</v>
      </c>
      <c r="R142" s="73">
        <f>1350</f>
        <v>1350</v>
      </c>
      <c r="S142" s="73" t="e">
        <f>P142+Q142+R142</f>
        <v>#REF!</v>
      </c>
      <c r="T142" s="73" t="e">
        <f>O142-S142</f>
        <v>#REF!</v>
      </c>
      <c r="U142" s="73" t="e">
        <f>D142*$D$130</f>
        <v>#REF!</v>
      </c>
      <c r="V142" s="73" t="e">
        <f>D142*$I$130</f>
        <v>#REF!</v>
      </c>
      <c r="W142" s="73" t="e">
        <f>U142+V142</f>
        <v>#REF!</v>
      </c>
      <c r="X142" s="73" t="e">
        <f t="shared" si="37"/>
        <v>#REF!</v>
      </c>
      <c r="Z142" s="42" t="s">
        <v>92</v>
      </c>
      <c r="AA142" s="46"/>
      <c r="AB142" s="73" t="e">
        <f>$AB$168/$D$168*D142</f>
        <v>#REF!</v>
      </c>
      <c r="AC142" s="68">
        <v>2.1524464565558068</v>
      </c>
    </row>
    <row r="143" spans="2:33" ht="15" customHeight="1" x14ac:dyDescent="0.25">
      <c r="B143" s="40" t="s">
        <v>93</v>
      </c>
      <c r="C143" s="41"/>
      <c r="D143" s="64">
        <f t="shared" ref="D143:M143" si="38">D144+D149</f>
        <v>383.13076789134601</v>
      </c>
      <c r="E143" s="71" t="e">
        <f t="shared" ref="E143:L143" si="39">E144+E149</f>
        <v>#REF!</v>
      </c>
      <c r="F143" s="71" t="e">
        <f t="shared" si="39"/>
        <v>#REF!</v>
      </c>
      <c r="G143" s="71" t="e">
        <f t="shared" si="39"/>
        <v>#REF!</v>
      </c>
      <c r="H143" s="71" t="e">
        <f t="shared" si="39"/>
        <v>#REF!</v>
      </c>
      <c r="I143" s="71">
        <f t="shared" si="39"/>
        <v>0</v>
      </c>
      <c r="J143" s="71">
        <f t="shared" si="39"/>
        <v>0</v>
      </c>
      <c r="K143" s="71">
        <f t="shared" si="39"/>
        <v>7425</v>
      </c>
      <c r="L143" s="71" t="e">
        <f t="shared" si="39"/>
        <v>#REF!</v>
      </c>
      <c r="M143" s="71">
        <f t="shared" si="38"/>
        <v>0</v>
      </c>
      <c r="N143" s="71">
        <f t="shared" ref="N143:X143" si="40">N144+N149</f>
        <v>0</v>
      </c>
      <c r="O143" s="71" t="e">
        <f t="shared" si="40"/>
        <v>#REF!</v>
      </c>
      <c r="P143" s="71">
        <f t="shared" si="40"/>
        <v>0</v>
      </c>
      <c r="Q143" s="71" t="e">
        <f t="shared" si="40"/>
        <v>#REF!</v>
      </c>
      <c r="R143" s="71">
        <f t="shared" si="40"/>
        <v>7425</v>
      </c>
      <c r="S143" s="71" t="e">
        <f t="shared" si="40"/>
        <v>#REF!</v>
      </c>
      <c r="T143" s="71" t="e">
        <f t="shared" si="40"/>
        <v>#REF!</v>
      </c>
      <c r="U143" s="71" t="e">
        <f t="shared" si="40"/>
        <v>#REF!</v>
      </c>
      <c r="V143" s="71" t="e">
        <f t="shared" si="40"/>
        <v>#REF!</v>
      </c>
      <c r="W143" s="71" t="e">
        <f t="shared" si="40"/>
        <v>#REF!</v>
      </c>
      <c r="X143" s="71" t="e">
        <f t="shared" si="40"/>
        <v>#REF!</v>
      </c>
      <c r="Z143" s="40" t="s">
        <v>93</v>
      </c>
      <c r="AA143" s="41"/>
      <c r="AB143" s="71" t="e">
        <f>AB144+AB149</f>
        <v>#REF!</v>
      </c>
      <c r="AC143" s="64">
        <f>AC144+AC149</f>
        <v>23.130767891345982</v>
      </c>
    </row>
    <row r="144" spans="2:33" ht="15" customHeight="1" x14ac:dyDescent="0.25">
      <c r="B144" s="38" t="s">
        <v>94</v>
      </c>
      <c r="C144" s="39"/>
      <c r="D144" s="65">
        <f t="shared" ref="D144:M144" si="41">D145+D146+D147+D148</f>
        <v>218.83684485460563</v>
      </c>
      <c r="E144" s="72" t="e">
        <f t="shared" ref="E144:L144" si="42">E145+E146+E147+E148</f>
        <v>#REF!</v>
      </c>
      <c r="F144" s="72" t="e">
        <f t="shared" si="42"/>
        <v>#REF!</v>
      </c>
      <c r="G144" s="72" t="e">
        <f t="shared" si="42"/>
        <v>#REF!</v>
      </c>
      <c r="H144" s="72" t="e">
        <f t="shared" si="42"/>
        <v>#REF!</v>
      </c>
      <c r="I144" s="72">
        <f t="shared" si="42"/>
        <v>0</v>
      </c>
      <c r="J144" s="72">
        <f t="shared" si="42"/>
        <v>0</v>
      </c>
      <c r="K144" s="72">
        <f t="shared" si="42"/>
        <v>0</v>
      </c>
      <c r="L144" s="72" t="e">
        <f t="shared" si="42"/>
        <v>#REF!</v>
      </c>
      <c r="M144" s="72">
        <f t="shared" si="41"/>
        <v>0</v>
      </c>
      <c r="N144" s="72">
        <f t="shared" ref="N144:X144" si="43">N145+N146+N147+N148</f>
        <v>0</v>
      </c>
      <c r="O144" s="72" t="e">
        <f t="shared" si="43"/>
        <v>#REF!</v>
      </c>
      <c r="P144" s="72">
        <f t="shared" si="43"/>
        <v>0</v>
      </c>
      <c r="Q144" s="72" t="e">
        <f t="shared" si="43"/>
        <v>#REF!</v>
      </c>
      <c r="R144" s="72">
        <f t="shared" si="43"/>
        <v>0</v>
      </c>
      <c r="S144" s="72" t="e">
        <f t="shared" si="43"/>
        <v>#REF!</v>
      </c>
      <c r="T144" s="72" t="e">
        <f t="shared" si="43"/>
        <v>#REF!</v>
      </c>
      <c r="U144" s="72" t="e">
        <f t="shared" si="43"/>
        <v>#REF!</v>
      </c>
      <c r="V144" s="72" t="e">
        <f t="shared" si="43"/>
        <v>#REF!</v>
      </c>
      <c r="W144" s="72" t="e">
        <f t="shared" si="43"/>
        <v>#REF!</v>
      </c>
      <c r="X144" s="72" t="e">
        <f t="shared" si="43"/>
        <v>#REF!</v>
      </c>
      <c r="Z144" s="38" t="s">
        <v>94</v>
      </c>
      <c r="AA144" s="39"/>
      <c r="AB144" s="72" t="e">
        <f>AB145+AB146+AB147+AB148</f>
        <v>#REF!</v>
      </c>
      <c r="AC144" s="65">
        <f>AC145+AC146+AC147+AC148</f>
        <v>13.211844854605607</v>
      </c>
    </row>
    <row r="145" spans="2:29" ht="15" customHeight="1" x14ac:dyDescent="0.25">
      <c r="B145" s="42" t="s">
        <v>95</v>
      </c>
      <c r="C145" s="46"/>
      <c r="D145" s="68">
        <f>18.5+AC145</f>
        <v>19.688664461083057</v>
      </c>
      <c r="E145" s="73" t="e">
        <f>(P145+Q145+R145+U145+V145)*$C$168</f>
        <v>#REF!</v>
      </c>
      <c r="F145" s="73" t="e">
        <f t="shared" ref="F145:F148" si="44">E145</f>
        <v>#REF!</v>
      </c>
      <c r="G145" s="73" t="e">
        <f>#REF!/(D145+D151+D152+D153)*D145</f>
        <v>#REF!</v>
      </c>
      <c r="H145" s="73">
        <v>0</v>
      </c>
      <c r="I145" s="73">
        <v>0</v>
      </c>
      <c r="J145" s="73">
        <v>0</v>
      </c>
      <c r="K145" s="73">
        <f>R145</f>
        <v>0</v>
      </c>
      <c r="L145" s="73" t="e">
        <f>G145+H145+I145+J145+K145</f>
        <v>#REF!</v>
      </c>
      <c r="M145" s="73">
        <v>0</v>
      </c>
      <c r="N145" s="73">
        <f t="shared" ref="N145:N148" si="45">M145</f>
        <v>0</v>
      </c>
      <c r="O145" s="73" t="e">
        <f>F145+L145+N145</f>
        <v>#REF!</v>
      </c>
      <c r="P145" s="73">
        <v>0</v>
      </c>
      <c r="Q145" s="73" t="e">
        <f>0+AB145</f>
        <v>#REF!</v>
      </c>
      <c r="R145" s="73">
        <v>0</v>
      </c>
      <c r="S145" s="73" t="e">
        <f>P145+Q145+R145</f>
        <v>#REF!</v>
      </c>
      <c r="T145" s="73" t="e">
        <f>O145-S145</f>
        <v>#REF!</v>
      </c>
      <c r="U145" s="73" t="e">
        <f>D145*$D$130</f>
        <v>#REF!</v>
      </c>
      <c r="V145" s="73" t="e">
        <f>D145*$I$130</f>
        <v>#REF!</v>
      </c>
      <c r="W145" s="73" t="e">
        <f>U145+V145</f>
        <v>#REF!</v>
      </c>
      <c r="X145" s="73" t="e">
        <f>T145-W145</f>
        <v>#REF!</v>
      </c>
      <c r="Z145" s="42" t="s">
        <v>95</v>
      </c>
      <c r="AA145" s="46"/>
      <c r="AB145" s="73" t="e">
        <f>$AB$168/$D$168*D145</f>
        <v>#REF!</v>
      </c>
      <c r="AC145" s="68">
        <v>1.1886644610830577</v>
      </c>
    </row>
    <row r="146" spans="2:29" ht="15" customHeight="1" x14ac:dyDescent="0.25">
      <c r="B146" s="44" t="s">
        <v>96</v>
      </c>
      <c r="C146" s="45"/>
      <c r="D146" s="69">
        <f>77.625+AC146</f>
        <v>82.612571826571482</v>
      </c>
      <c r="E146" s="74" t="e">
        <f>(P146+Q146+R146+U146+V146)*$C$168</f>
        <v>#REF!</v>
      </c>
      <c r="F146" s="74" t="e">
        <f t="shared" si="44"/>
        <v>#REF!</v>
      </c>
      <c r="G146" s="74">
        <v>0</v>
      </c>
      <c r="H146" s="74" t="e">
        <f>#REF!/(D146+D147+D148)*D146</f>
        <v>#REF!</v>
      </c>
      <c r="I146" s="74">
        <v>0</v>
      </c>
      <c r="J146" s="74">
        <v>0</v>
      </c>
      <c r="K146" s="74">
        <f>R146</f>
        <v>0</v>
      </c>
      <c r="L146" s="74" t="e">
        <f t="shared" ref="L146:L148" si="46">G146+H146+I146+J146+K146</f>
        <v>#REF!</v>
      </c>
      <c r="M146" s="74">
        <v>0</v>
      </c>
      <c r="N146" s="74">
        <f t="shared" si="45"/>
        <v>0</v>
      </c>
      <c r="O146" s="74" t="e">
        <f t="shared" ref="O146:O148" si="47">F146+L146+N146</f>
        <v>#REF!</v>
      </c>
      <c r="P146" s="74">
        <v>0</v>
      </c>
      <c r="Q146" s="74" t="e">
        <f>3865.39+AB146</f>
        <v>#REF!</v>
      </c>
      <c r="R146" s="74">
        <v>0</v>
      </c>
      <c r="S146" s="74" t="e">
        <f>P146+Q146+R146</f>
        <v>#REF!</v>
      </c>
      <c r="T146" s="74" t="e">
        <f>O146-S146</f>
        <v>#REF!</v>
      </c>
      <c r="U146" s="74" t="e">
        <f>D146*$D$130</f>
        <v>#REF!</v>
      </c>
      <c r="V146" s="74" t="e">
        <f>D146*$I$130</f>
        <v>#REF!</v>
      </c>
      <c r="W146" s="74" t="e">
        <f>U146+V146</f>
        <v>#REF!</v>
      </c>
      <c r="X146" s="74" t="e">
        <f t="shared" ref="X146:X148" si="48">T146-W146</f>
        <v>#REF!</v>
      </c>
      <c r="Z146" s="44" t="s">
        <v>96</v>
      </c>
      <c r="AA146" s="45"/>
      <c r="AB146" s="74" t="e">
        <f>$AB$168/$D$168*D146</f>
        <v>#REF!</v>
      </c>
      <c r="AC146" s="69">
        <v>4.9875718265714779</v>
      </c>
    </row>
    <row r="147" spans="2:29" ht="15" customHeight="1" x14ac:dyDescent="0.25">
      <c r="B147" s="42" t="s">
        <v>97</v>
      </c>
      <c r="C147" s="46"/>
      <c r="D147" s="68">
        <f>30.125+AC147</f>
        <v>32.06059550757444</v>
      </c>
      <c r="E147" s="73" t="e">
        <f>(P147+Q147+R147+U147+V147)*$C$168</f>
        <v>#REF!</v>
      </c>
      <c r="F147" s="73" t="e">
        <f t="shared" si="44"/>
        <v>#REF!</v>
      </c>
      <c r="G147" s="73">
        <v>0</v>
      </c>
      <c r="H147" s="73" t="e">
        <f>#REF!/(D146+D147+D148)*D147</f>
        <v>#REF!</v>
      </c>
      <c r="I147" s="73">
        <v>0</v>
      </c>
      <c r="J147" s="73">
        <v>0</v>
      </c>
      <c r="K147" s="73">
        <f>R147</f>
        <v>0</v>
      </c>
      <c r="L147" s="73" t="e">
        <f t="shared" si="46"/>
        <v>#REF!</v>
      </c>
      <c r="M147" s="73">
        <v>0</v>
      </c>
      <c r="N147" s="73">
        <f t="shared" si="45"/>
        <v>0</v>
      </c>
      <c r="O147" s="73" t="e">
        <f t="shared" si="47"/>
        <v>#REF!</v>
      </c>
      <c r="P147" s="73">
        <v>0</v>
      </c>
      <c r="Q147" s="73" t="e">
        <f>0+AB147</f>
        <v>#REF!</v>
      </c>
      <c r="R147" s="73">
        <v>0</v>
      </c>
      <c r="S147" s="73" t="e">
        <f>P147+Q147+R147</f>
        <v>#REF!</v>
      </c>
      <c r="T147" s="73" t="e">
        <f>O147-S147</f>
        <v>#REF!</v>
      </c>
      <c r="U147" s="73" t="e">
        <f>D147*$D$130</f>
        <v>#REF!</v>
      </c>
      <c r="V147" s="73" t="e">
        <f>D147*$I$130</f>
        <v>#REF!</v>
      </c>
      <c r="W147" s="73" t="e">
        <f>U147+V147</f>
        <v>#REF!</v>
      </c>
      <c r="X147" s="73" t="e">
        <f t="shared" si="48"/>
        <v>#REF!</v>
      </c>
      <c r="Z147" s="42" t="s">
        <v>97</v>
      </c>
      <c r="AA147" s="46"/>
      <c r="AB147" s="73" t="e">
        <f>$AB$168/$D$168*D147</f>
        <v>#REF!</v>
      </c>
      <c r="AC147" s="68">
        <v>1.9355955075744384</v>
      </c>
    </row>
    <row r="148" spans="2:29" ht="15" customHeight="1" x14ac:dyDescent="0.25">
      <c r="B148" s="44" t="s">
        <v>98</v>
      </c>
      <c r="C148" s="45"/>
      <c r="D148" s="69">
        <f>79.375+AC148</f>
        <v>84.475013059376636</v>
      </c>
      <c r="E148" s="74" t="e">
        <f>(P148+Q148+R148+U148+V148)*$C$168</f>
        <v>#REF!</v>
      </c>
      <c r="F148" s="74" t="e">
        <f t="shared" si="44"/>
        <v>#REF!</v>
      </c>
      <c r="G148" s="74">
        <v>0</v>
      </c>
      <c r="H148" s="74" t="e">
        <f>#REF!/(D146+D147+D148)*D148</f>
        <v>#REF!</v>
      </c>
      <c r="I148" s="74">
        <v>0</v>
      </c>
      <c r="J148" s="74">
        <v>0</v>
      </c>
      <c r="K148" s="74">
        <f>R148</f>
        <v>0</v>
      </c>
      <c r="L148" s="74" t="e">
        <f t="shared" si="46"/>
        <v>#REF!</v>
      </c>
      <c r="M148" s="74">
        <v>0</v>
      </c>
      <c r="N148" s="74">
        <f t="shared" si="45"/>
        <v>0</v>
      </c>
      <c r="O148" s="74" t="e">
        <f t="shared" si="47"/>
        <v>#REF!</v>
      </c>
      <c r="P148" s="74">
        <v>0</v>
      </c>
      <c r="Q148" s="74" t="e">
        <f>10111.82+AB148</f>
        <v>#REF!</v>
      </c>
      <c r="R148" s="74">
        <v>0</v>
      </c>
      <c r="S148" s="74" t="e">
        <f>P148+Q148+R148</f>
        <v>#REF!</v>
      </c>
      <c r="T148" s="74" t="e">
        <f>O148-S148</f>
        <v>#REF!</v>
      </c>
      <c r="U148" s="74" t="e">
        <f>D148*$D$130</f>
        <v>#REF!</v>
      </c>
      <c r="V148" s="74" t="e">
        <f>D148*$I$130</f>
        <v>#REF!</v>
      </c>
      <c r="W148" s="74" t="e">
        <f>U148+V148</f>
        <v>#REF!</v>
      </c>
      <c r="X148" s="74" t="e">
        <f t="shared" si="48"/>
        <v>#REF!</v>
      </c>
      <c r="Z148" s="44" t="s">
        <v>98</v>
      </c>
      <c r="AA148" s="45"/>
      <c r="AB148" s="74" t="e">
        <f>$AB$168/$D$168*D148</f>
        <v>#REF!</v>
      </c>
      <c r="AC148" s="69">
        <v>5.1000130593766322</v>
      </c>
    </row>
    <row r="149" spans="2:29" ht="15" customHeight="1" x14ac:dyDescent="0.25">
      <c r="B149" s="35" t="s">
        <v>295</v>
      </c>
      <c r="C149" s="36"/>
      <c r="D149" s="65">
        <f t="shared" ref="D149:M149" si="49">D150+D151+D152+D153</f>
        <v>164.29392303674038</v>
      </c>
      <c r="E149" s="72" t="e">
        <f t="shared" ref="E149:L149" si="50">E150+E151+E152+E153</f>
        <v>#REF!</v>
      </c>
      <c r="F149" s="72" t="e">
        <f t="shared" si="50"/>
        <v>#REF!</v>
      </c>
      <c r="G149" s="72" t="e">
        <f t="shared" si="50"/>
        <v>#REF!</v>
      </c>
      <c r="H149" s="72">
        <f t="shared" si="50"/>
        <v>0</v>
      </c>
      <c r="I149" s="72">
        <f t="shared" si="50"/>
        <v>0</v>
      </c>
      <c r="J149" s="72">
        <f t="shared" si="50"/>
        <v>0</v>
      </c>
      <c r="K149" s="72">
        <f t="shared" si="50"/>
        <v>7425</v>
      </c>
      <c r="L149" s="72" t="e">
        <f t="shared" si="50"/>
        <v>#REF!</v>
      </c>
      <c r="M149" s="72">
        <f t="shared" si="49"/>
        <v>0</v>
      </c>
      <c r="N149" s="72">
        <f t="shared" ref="N149:X149" si="51">N150+N151+N152+N153</f>
        <v>0</v>
      </c>
      <c r="O149" s="72" t="e">
        <f t="shared" si="51"/>
        <v>#REF!</v>
      </c>
      <c r="P149" s="72">
        <f t="shared" si="51"/>
        <v>0</v>
      </c>
      <c r="Q149" s="72" t="e">
        <f t="shared" si="51"/>
        <v>#REF!</v>
      </c>
      <c r="R149" s="72">
        <f t="shared" si="51"/>
        <v>7425</v>
      </c>
      <c r="S149" s="72" t="e">
        <f t="shared" si="51"/>
        <v>#REF!</v>
      </c>
      <c r="T149" s="72" t="e">
        <f t="shared" si="51"/>
        <v>#REF!</v>
      </c>
      <c r="U149" s="72" t="e">
        <f t="shared" si="51"/>
        <v>#REF!</v>
      </c>
      <c r="V149" s="72" t="e">
        <f t="shared" si="51"/>
        <v>#REF!</v>
      </c>
      <c r="W149" s="72" t="e">
        <f t="shared" si="51"/>
        <v>#REF!</v>
      </c>
      <c r="X149" s="72" t="e">
        <f t="shared" si="51"/>
        <v>#REF!</v>
      </c>
      <c r="Z149" s="35" t="s">
        <v>99</v>
      </c>
      <c r="AA149" s="36"/>
      <c r="AB149" s="72" t="e">
        <f>AB150+AB151+AB152+AB153</f>
        <v>#REF!</v>
      </c>
      <c r="AC149" s="65">
        <f>AC150+AC151+AC152+AC153</f>
        <v>9.9189230367403773</v>
      </c>
    </row>
    <row r="150" spans="2:29" ht="15" customHeight="1" x14ac:dyDescent="0.25">
      <c r="B150" s="42" t="s">
        <v>100</v>
      </c>
      <c r="C150" s="43"/>
      <c r="D150" s="68">
        <f>34.625+AC150</f>
        <v>36.849730106216263</v>
      </c>
      <c r="E150" s="73" t="e">
        <f>(P150+Q150+R150+U150+V150)*$C$168</f>
        <v>#REF!</v>
      </c>
      <c r="F150" s="73" t="e">
        <f t="shared" ref="F150:F153" si="52">E150</f>
        <v>#REF!</v>
      </c>
      <c r="G150" s="73">
        <v>0</v>
      </c>
      <c r="H150" s="73">
        <v>0</v>
      </c>
      <c r="I150" s="73">
        <v>0</v>
      </c>
      <c r="J150" s="73">
        <v>0</v>
      </c>
      <c r="K150" s="73">
        <f>R150</f>
        <v>0</v>
      </c>
      <c r="L150" s="73">
        <f>G150+H150+I150+J150+K150</f>
        <v>0</v>
      </c>
      <c r="M150" s="73">
        <v>0</v>
      </c>
      <c r="N150" s="73">
        <f t="shared" ref="N150:N153" si="53">M150</f>
        <v>0</v>
      </c>
      <c r="O150" s="73" t="e">
        <f>F150+L150+N150</f>
        <v>#REF!</v>
      </c>
      <c r="P150" s="73">
        <v>0</v>
      </c>
      <c r="Q150" s="73" t="e">
        <f>0+AB150</f>
        <v>#REF!</v>
      </c>
      <c r="R150" s="73">
        <v>0</v>
      </c>
      <c r="S150" s="73" t="e">
        <f>P150+Q150+R150</f>
        <v>#REF!</v>
      </c>
      <c r="T150" s="73" t="e">
        <f>O150-S150</f>
        <v>#REF!</v>
      </c>
      <c r="U150" s="73" t="e">
        <f>D150*$D$130</f>
        <v>#REF!</v>
      </c>
      <c r="V150" s="73" t="e">
        <f>D150*$I$130</f>
        <v>#REF!</v>
      </c>
      <c r="W150" s="73" t="e">
        <f>U150+V150</f>
        <v>#REF!</v>
      </c>
      <c r="X150" s="73" t="e">
        <f>T150-W150</f>
        <v>#REF!</v>
      </c>
      <c r="Z150" s="42" t="s">
        <v>100</v>
      </c>
      <c r="AA150" s="43"/>
      <c r="AB150" s="73" t="e">
        <f>$AB$168/$D$168*D150</f>
        <v>#REF!</v>
      </c>
      <c r="AC150" s="68">
        <v>2.224730106216263</v>
      </c>
    </row>
    <row r="151" spans="2:29" ht="15" customHeight="1" x14ac:dyDescent="0.25">
      <c r="B151" s="44" t="s">
        <v>101</v>
      </c>
      <c r="C151" s="47"/>
      <c r="D151" s="69">
        <f>55.25+AC151</f>
        <v>58.799930349991293</v>
      </c>
      <c r="E151" s="74" t="e">
        <f>(P151+Q151+R151+U151+V151)*$C$168</f>
        <v>#REF!</v>
      </c>
      <c r="F151" s="74" t="e">
        <f t="shared" si="52"/>
        <v>#REF!</v>
      </c>
      <c r="G151" s="74" t="e">
        <f>#REF!/(D145+D151+D152+D153)*D151</f>
        <v>#REF!</v>
      </c>
      <c r="H151" s="74">
        <v>0</v>
      </c>
      <c r="I151" s="74">
        <v>0</v>
      </c>
      <c r="J151" s="74">
        <v>0</v>
      </c>
      <c r="K151" s="74">
        <f>R151</f>
        <v>7425</v>
      </c>
      <c r="L151" s="74" t="e">
        <f t="shared" ref="L151:L153" si="54">G151+H151+I151+J151+K151</f>
        <v>#REF!</v>
      </c>
      <c r="M151" s="74">
        <v>0</v>
      </c>
      <c r="N151" s="74">
        <f t="shared" si="53"/>
        <v>0</v>
      </c>
      <c r="O151" s="74" t="e">
        <f t="shared" ref="O151:O153" si="55">F151+L151+N151</f>
        <v>#REF!</v>
      </c>
      <c r="P151" s="74">
        <v>0</v>
      </c>
      <c r="Q151" s="74" t="e">
        <f>1000+AB151</f>
        <v>#REF!</v>
      </c>
      <c r="R151" s="74">
        <v>7425</v>
      </c>
      <c r="S151" s="74" t="e">
        <f>P151+Q151+R151</f>
        <v>#REF!</v>
      </c>
      <c r="T151" s="74" t="e">
        <f>O151-S151</f>
        <v>#REF!</v>
      </c>
      <c r="U151" s="74" t="e">
        <f>D151*$D$130</f>
        <v>#REF!</v>
      </c>
      <c r="V151" s="74" t="e">
        <f>D151*$I$130</f>
        <v>#REF!</v>
      </c>
      <c r="W151" s="74" t="e">
        <f>U151+V151</f>
        <v>#REF!</v>
      </c>
      <c r="X151" s="74" t="e">
        <f t="shared" ref="X151:X153" si="56">T151-W151</f>
        <v>#REF!</v>
      </c>
      <c r="Z151" s="44" t="s">
        <v>101</v>
      </c>
      <c r="AA151" s="47"/>
      <c r="AB151" s="74" t="e">
        <f>$AB$168/$D$168*D151</f>
        <v>#REF!</v>
      </c>
      <c r="AC151" s="69">
        <v>3.5499303499912935</v>
      </c>
    </row>
    <row r="152" spans="2:29" ht="15" customHeight="1" x14ac:dyDescent="0.25">
      <c r="B152" s="42" t="s">
        <v>102</v>
      </c>
      <c r="C152" s="46"/>
      <c r="D152" s="68">
        <f>37.75+AC152</f>
        <v>40.175518021939752</v>
      </c>
      <c r="E152" s="73" t="e">
        <f>(P152+Q152+R152+U152+V152)*$C$168</f>
        <v>#REF!</v>
      </c>
      <c r="F152" s="73" t="e">
        <f t="shared" si="52"/>
        <v>#REF!</v>
      </c>
      <c r="G152" s="73" t="e">
        <f>#REF!/(D145+D151+D152+D153)*D152</f>
        <v>#REF!</v>
      </c>
      <c r="H152" s="73">
        <v>0</v>
      </c>
      <c r="I152" s="73">
        <v>0</v>
      </c>
      <c r="J152" s="73">
        <v>0</v>
      </c>
      <c r="K152" s="73">
        <f>R152</f>
        <v>0</v>
      </c>
      <c r="L152" s="73" t="e">
        <f t="shared" si="54"/>
        <v>#REF!</v>
      </c>
      <c r="M152" s="73">
        <v>0</v>
      </c>
      <c r="N152" s="73">
        <f t="shared" si="53"/>
        <v>0</v>
      </c>
      <c r="O152" s="73" t="e">
        <f t="shared" si="55"/>
        <v>#REF!</v>
      </c>
      <c r="P152" s="73">
        <v>0</v>
      </c>
      <c r="Q152" s="73" t="e">
        <f>12935.95+AB152</f>
        <v>#REF!</v>
      </c>
      <c r="R152" s="73">
        <v>0</v>
      </c>
      <c r="S152" s="73" t="e">
        <f>P152+Q152+R152</f>
        <v>#REF!</v>
      </c>
      <c r="T152" s="73" t="e">
        <f>O152-S152</f>
        <v>#REF!</v>
      </c>
      <c r="U152" s="73" t="e">
        <f>D152*$D$130</f>
        <v>#REF!</v>
      </c>
      <c r="V152" s="73" t="e">
        <f>D152*$I$130</f>
        <v>#REF!</v>
      </c>
      <c r="W152" s="73" t="e">
        <f>U152+V152</f>
        <v>#REF!</v>
      </c>
      <c r="X152" s="73" t="e">
        <f t="shared" si="56"/>
        <v>#REF!</v>
      </c>
      <c r="Z152" s="42" t="s">
        <v>102</v>
      </c>
      <c r="AA152" s="46"/>
      <c r="AB152" s="73" t="e">
        <f>$AB$168/$D$168*D152</f>
        <v>#REF!</v>
      </c>
      <c r="AC152" s="68">
        <v>2.4255180219397525</v>
      </c>
    </row>
    <row r="153" spans="2:29" ht="15" customHeight="1" x14ac:dyDescent="0.25">
      <c r="B153" s="44" t="s">
        <v>103</v>
      </c>
      <c r="C153" s="45"/>
      <c r="D153" s="69">
        <f>26.75+AC153</f>
        <v>28.46874455859307</v>
      </c>
      <c r="E153" s="74" t="e">
        <f>(P153+Q153+R153+U153+V153)*$C$168</f>
        <v>#REF!</v>
      </c>
      <c r="F153" s="74" t="e">
        <f t="shared" si="52"/>
        <v>#REF!</v>
      </c>
      <c r="G153" s="74" t="e">
        <f>#REF!/(D145+D151+D152+D153)*D153</f>
        <v>#REF!</v>
      </c>
      <c r="H153" s="74">
        <v>0</v>
      </c>
      <c r="I153" s="74">
        <v>0</v>
      </c>
      <c r="J153" s="74">
        <v>0</v>
      </c>
      <c r="K153" s="74">
        <f>R153</f>
        <v>0</v>
      </c>
      <c r="L153" s="74" t="e">
        <f t="shared" si="54"/>
        <v>#REF!</v>
      </c>
      <c r="M153" s="74">
        <v>0</v>
      </c>
      <c r="N153" s="74">
        <f t="shared" si="53"/>
        <v>0</v>
      </c>
      <c r="O153" s="74" t="e">
        <f t="shared" si="55"/>
        <v>#REF!</v>
      </c>
      <c r="P153" s="74">
        <v>0</v>
      </c>
      <c r="Q153" s="74" t="e">
        <f>0+AB153</f>
        <v>#REF!</v>
      </c>
      <c r="R153" s="74">
        <v>0</v>
      </c>
      <c r="S153" s="74" t="e">
        <f>P153+Q153+R153</f>
        <v>#REF!</v>
      </c>
      <c r="T153" s="74" t="e">
        <f>O153-S153</f>
        <v>#REF!</v>
      </c>
      <c r="U153" s="74" t="e">
        <f>D153*$D$130</f>
        <v>#REF!</v>
      </c>
      <c r="V153" s="74" t="e">
        <f>D153*$I$130</f>
        <v>#REF!</v>
      </c>
      <c r="W153" s="74" t="e">
        <f>U153+V153</f>
        <v>#REF!</v>
      </c>
      <c r="X153" s="74" t="e">
        <f t="shared" si="56"/>
        <v>#REF!</v>
      </c>
      <c r="Z153" s="44" t="s">
        <v>103</v>
      </c>
      <c r="AA153" s="45"/>
      <c r="AB153" s="74" t="e">
        <f>$AB$168/$D$168*D153</f>
        <v>#REF!</v>
      </c>
      <c r="AC153" s="69">
        <v>1.7187445585930696</v>
      </c>
    </row>
    <row r="154" spans="2:29" ht="15" customHeight="1" x14ac:dyDescent="0.25">
      <c r="B154" s="40" t="s">
        <v>104</v>
      </c>
      <c r="C154" s="48"/>
      <c r="D154" s="64">
        <f t="shared" ref="D154:M154" si="57">D155+D159+D164</f>
        <v>64.387254048406746</v>
      </c>
      <c r="E154" s="71" t="e">
        <f t="shared" ref="E154:L154" si="58">E155+E159+E164</f>
        <v>#REF!</v>
      </c>
      <c r="F154" s="71" t="e">
        <f t="shared" si="58"/>
        <v>#REF!</v>
      </c>
      <c r="G154" s="71">
        <f t="shared" si="58"/>
        <v>0</v>
      </c>
      <c r="H154" s="71">
        <f t="shared" si="58"/>
        <v>0</v>
      </c>
      <c r="I154" s="71">
        <f t="shared" si="58"/>
        <v>0</v>
      </c>
      <c r="J154" s="71">
        <f t="shared" si="58"/>
        <v>0</v>
      </c>
      <c r="K154" s="71">
        <f t="shared" si="58"/>
        <v>12450</v>
      </c>
      <c r="L154" s="71">
        <f t="shared" si="58"/>
        <v>12450</v>
      </c>
      <c r="M154" s="71">
        <f t="shared" si="57"/>
        <v>0</v>
      </c>
      <c r="N154" s="71">
        <f t="shared" ref="N154:X154" si="59">N155+N159+N164</f>
        <v>0</v>
      </c>
      <c r="O154" s="71" t="e">
        <f t="shared" si="59"/>
        <v>#REF!</v>
      </c>
      <c r="P154" s="71">
        <f t="shared" si="59"/>
        <v>0</v>
      </c>
      <c r="Q154" s="71" t="e">
        <f t="shared" si="59"/>
        <v>#REF!</v>
      </c>
      <c r="R154" s="71">
        <f t="shared" si="59"/>
        <v>12450</v>
      </c>
      <c r="S154" s="71" t="e">
        <f t="shared" si="59"/>
        <v>#REF!</v>
      </c>
      <c r="T154" s="71" t="e">
        <f t="shared" si="59"/>
        <v>#REF!</v>
      </c>
      <c r="U154" s="71" t="e">
        <f t="shared" si="59"/>
        <v>#REF!</v>
      </c>
      <c r="V154" s="71" t="e">
        <f t="shared" si="59"/>
        <v>#REF!</v>
      </c>
      <c r="W154" s="71" t="e">
        <f t="shared" si="59"/>
        <v>#REF!</v>
      </c>
      <c r="X154" s="71" t="e">
        <f t="shared" si="59"/>
        <v>#REF!</v>
      </c>
      <c r="Z154" s="40" t="s">
        <v>104</v>
      </c>
      <c r="AA154" s="48"/>
      <c r="AB154" s="71" t="e">
        <f>AB155+AB159+AB164</f>
        <v>#REF!</v>
      </c>
      <c r="AC154" s="64">
        <f>AC155+AC159+AC164</f>
        <v>3.8872540484067559</v>
      </c>
    </row>
    <row r="155" spans="2:29" ht="15" customHeight="1" x14ac:dyDescent="0.25">
      <c r="B155" s="35" t="s">
        <v>105</v>
      </c>
      <c r="C155" s="37"/>
      <c r="D155" s="65">
        <f t="shared" ref="D155:M155" si="60">D156+D157+D158</f>
        <v>41.239770154971268</v>
      </c>
      <c r="E155" s="72" t="e">
        <f t="shared" ref="E155:L155" si="61">E156+E157+E158</f>
        <v>#REF!</v>
      </c>
      <c r="F155" s="72" t="e">
        <f t="shared" si="61"/>
        <v>#REF!</v>
      </c>
      <c r="G155" s="72">
        <f t="shared" si="61"/>
        <v>0</v>
      </c>
      <c r="H155" s="72">
        <f t="shared" si="61"/>
        <v>0</v>
      </c>
      <c r="I155" s="72">
        <f t="shared" si="61"/>
        <v>0</v>
      </c>
      <c r="J155" s="72">
        <f t="shared" si="61"/>
        <v>0</v>
      </c>
      <c r="K155" s="72">
        <f t="shared" si="61"/>
        <v>1200</v>
      </c>
      <c r="L155" s="72">
        <f t="shared" si="61"/>
        <v>1200</v>
      </c>
      <c r="M155" s="72">
        <f t="shared" si="60"/>
        <v>0</v>
      </c>
      <c r="N155" s="72">
        <f t="shared" ref="N155:X155" si="62">N156+N157+N158</f>
        <v>0</v>
      </c>
      <c r="O155" s="72" t="e">
        <f t="shared" si="62"/>
        <v>#REF!</v>
      </c>
      <c r="P155" s="72">
        <f t="shared" si="62"/>
        <v>0</v>
      </c>
      <c r="Q155" s="72" t="e">
        <f t="shared" si="62"/>
        <v>#REF!</v>
      </c>
      <c r="R155" s="72">
        <f t="shared" si="62"/>
        <v>1200</v>
      </c>
      <c r="S155" s="72" t="e">
        <f t="shared" si="62"/>
        <v>#REF!</v>
      </c>
      <c r="T155" s="72" t="e">
        <f t="shared" si="62"/>
        <v>#REF!</v>
      </c>
      <c r="U155" s="72" t="e">
        <f t="shared" si="62"/>
        <v>#REF!</v>
      </c>
      <c r="V155" s="72" t="e">
        <f t="shared" si="62"/>
        <v>#REF!</v>
      </c>
      <c r="W155" s="72" t="e">
        <f t="shared" si="62"/>
        <v>#REF!</v>
      </c>
      <c r="X155" s="72" t="e">
        <f t="shared" si="62"/>
        <v>#REF!</v>
      </c>
      <c r="Z155" s="35" t="s">
        <v>105</v>
      </c>
      <c r="AA155" s="37"/>
      <c r="AB155" s="72" t="e">
        <f>AB156+AB157+AB158</f>
        <v>#REF!</v>
      </c>
      <c r="AC155" s="65">
        <f>AC156+AC157+AC158</f>
        <v>2.4897701549712692</v>
      </c>
    </row>
    <row r="156" spans="2:29" ht="15" customHeight="1" x14ac:dyDescent="0.25">
      <c r="B156" s="42" t="s">
        <v>106</v>
      </c>
      <c r="C156" s="46"/>
      <c r="D156" s="68">
        <f>16.5+AC156</f>
        <v>17.560160195020025</v>
      </c>
      <c r="E156" s="73" t="e">
        <f>(P156+Q156+R156+U156+V156)*$C$168</f>
        <v>#REF!</v>
      </c>
      <c r="F156" s="73" t="e">
        <f t="shared" ref="F156:F158" si="63">E156</f>
        <v>#REF!</v>
      </c>
      <c r="G156" s="73">
        <v>0</v>
      </c>
      <c r="H156" s="73">
        <v>0</v>
      </c>
      <c r="I156" s="73">
        <v>0</v>
      </c>
      <c r="J156" s="73">
        <v>0</v>
      </c>
      <c r="K156" s="73">
        <f>R156</f>
        <v>0</v>
      </c>
      <c r="L156" s="73">
        <f>G156+H156+I156+J156+K156</f>
        <v>0</v>
      </c>
      <c r="M156" s="73">
        <v>0</v>
      </c>
      <c r="N156" s="73">
        <f t="shared" ref="N156:N158" si="64">M156</f>
        <v>0</v>
      </c>
      <c r="O156" s="73" t="e">
        <f>F156+L156+N156</f>
        <v>#REF!</v>
      </c>
      <c r="P156" s="73">
        <v>0</v>
      </c>
      <c r="Q156" s="73" t="e">
        <f>0+AB156</f>
        <v>#REF!</v>
      </c>
      <c r="R156" s="73">
        <v>0</v>
      </c>
      <c r="S156" s="73" t="e">
        <f>P156+Q156+R156</f>
        <v>#REF!</v>
      </c>
      <c r="T156" s="73" t="e">
        <f>O156-S156</f>
        <v>#REF!</v>
      </c>
      <c r="U156" s="73" t="e">
        <f>D156*$D$130</f>
        <v>#REF!</v>
      </c>
      <c r="V156" s="73" t="e">
        <f>D156*$I$130</f>
        <v>#REF!</v>
      </c>
      <c r="W156" s="73" t="e">
        <f>U156+V156</f>
        <v>#REF!</v>
      </c>
      <c r="X156" s="73" t="e">
        <f>T156-W156</f>
        <v>#REF!</v>
      </c>
      <c r="Z156" s="42" t="s">
        <v>106</v>
      </c>
      <c r="AA156" s="46"/>
      <c r="AB156" s="73" t="e">
        <f>$AB$168/$D$168*D156</f>
        <v>#REF!</v>
      </c>
      <c r="AC156" s="68">
        <v>1.0601601950200243</v>
      </c>
    </row>
    <row r="157" spans="2:29" ht="15" customHeight="1" x14ac:dyDescent="0.25">
      <c r="B157" s="44" t="s">
        <v>107</v>
      </c>
      <c r="C157" s="47"/>
      <c r="D157" s="69">
        <f>16.75+AC157</f>
        <v>17.826223228277904</v>
      </c>
      <c r="E157" s="74" t="e">
        <f>(P157+Q157+R157+U157+V157)*$C$168</f>
        <v>#REF!</v>
      </c>
      <c r="F157" s="74" t="e">
        <f t="shared" si="63"/>
        <v>#REF!</v>
      </c>
      <c r="G157" s="74">
        <v>0</v>
      </c>
      <c r="H157" s="74">
        <v>0</v>
      </c>
      <c r="I157" s="74">
        <v>0</v>
      </c>
      <c r="J157" s="74">
        <v>0</v>
      </c>
      <c r="K157" s="74">
        <f>R157</f>
        <v>1200</v>
      </c>
      <c r="L157" s="74">
        <f t="shared" ref="L157:L158" si="65">G157+H157+I157+J157+K157</f>
        <v>1200</v>
      </c>
      <c r="M157" s="74">
        <v>0</v>
      </c>
      <c r="N157" s="74">
        <f t="shared" si="64"/>
        <v>0</v>
      </c>
      <c r="O157" s="74" t="e">
        <f t="shared" ref="O157:O158" si="66">F157+L157+N157</f>
        <v>#REF!</v>
      </c>
      <c r="P157" s="74">
        <v>0</v>
      </c>
      <c r="Q157" s="74" t="e">
        <f>319+AB157</f>
        <v>#REF!</v>
      </c>
      <c r="R157" s="74">
        <v>1200</v>
      </c>
      <c r="S157" s="74" t="e">
        <f>P157+Q157+R157</f>
        <v>#REF!</v>
      </c>
      <c r="T157" s="74" t="e">
        <f>O157-S157</f>
        <v>#REF!</v>
      </c>
      <c r="U157" s="74" t="e">
        <f>D157*$D$130</f>
        <v>#REF!</v>
      </c>
      <c r="V157" s="74" t="e">
        <f>D157*$I$130</f>
        <v>#REF!</v>
      </c>
      <c r="W157" s="74" t="e">
        <f>U157+V157</f>
        <v>#REF!</v>
      </c>
      <c r="X157" s="74" t="e">
        <f t="shared" ref="X157:X158" si="67">T157-W157</f>
        <v>#REF!</v>
      </c>
      <c r="Z157" s="44" t="s">
        <v>107</v>
      </c>
      <c r="AA157" s="47"/>
      <c r="AB157" s="74" t="e">
        <f>$AB$168/$D$168*D157</f>
        <v>#REF!</v>
      </c>
      <c r="AC157" s="69">
        <v>1.0762232282779034</v>
      </c>
    </row>
    <row r="158" spans="2:29" ht="15" customHeight="1" x14ac:dyDescent="0.25">
      <c r="B158" s="42" t="s">
        <v>108</v>
      </c>
      <c r="C158" s="46"/>
      <c r="D158" s="68">
        <f>5.5++AC158</f>
        <v>5.853386731673341</v>
      </c>
      <c r="E158" s="73" t="e">
        <f>(P158+Q158+R158+U158+V158)*$C$168</f>
        <v>#REF!</v>
      </c>
      <c r="F158" s="73" t="e">
        <f t="shared" si="63"/>
        <v>#REF!</v>
      </c>
      <c r="G158" s="73">
        <v>0</v>
      </c>
      <c r="H158" s="73">
        <v>0</v>
      </c>
      <c r="I158" s="73">
        <v>0</v>
      </c>
      <c r="J158" s="73">
        <v>0</v>
      </c>
      <c r="K158" s="73">
        <f>R158</f>
        <v>0</v>
      </c>
      <c r="L158" s="73">
        <f t="shared" si="65"/>
        <v>0</v>
      </c>
      <c r="M158" s="73">
        <v>0</v>
      </c>
      <c r="N158" s="73">
        <f t="shared" si="64"/>
        <v>0</v>
      </c>
      <c r="O158" s="73" t="e">
        <f t="shared" si="66"/>
        <v>#REF!</v>
      </c>
      <c r="P158" s="73">
        <v>0</v>
      </c>
      <c r="Q158" s="73" t="e">
        <f>0+AB158</f>
        <v>#REF!</v>
      </c>
      <c r="R158" s="73">
        <v>0</v>
      </c>
      <c r="S158" s="73" t="e">
        <f>P158+Q158+R158</f>
        <v>#REF!</v>
      </c>
      <c r="T158" s="73" t="e">
        <f>O158-S158</f>
        <v>#REF!</v>
      </c>
      <c r="U158" s="73" t="e">
        <f>D158*$D$130</f>
        <v>#REF!</v>
      </c>
      <c r="V158" s="73" t="e">
        <f>D158*$I$130</f>
        <v>#REF!</v>
      </c>
      <c r="W158" s="73" t="e">
        <f>U158+V158</f>
        <v>#REF!</v>
      </c>
      <c r="X158" s="73" t="e">
        <f t="shared" si="67"/>
        <v>#REF!</v>
      </c>
      <c r="Z158" s="42" t="s">
        <v>108</v>
      </c>
      <c r="AA158" s="46"/>
      <c r="AB158" s="73" t="e">
        <f>$AB$168/$D$168*D158</f>
        <v>#REF!</v>
      </c>
      <c r="AC158" s="68">
        <v>0.35338673167334145</v>
      </c>
    </row>
    <row r="159" spans="2:29" ht="15" customHeight="1" x14ac:dyDescent="0.25">
      <c r="B159" s="35" t="s">
        <v>109</v>
      </c>
      <c r="C159" s="37"/>
      <c r="D159" s="65">
        <f t="shared" ref="D159:M159" si="68">D160+D161+D162+D163</f>
        <v>11.706773463346682</v>
      </c>
      <c r="E159" s="72" t="e">
        <f t="shared" ref="E159:L159" si="69">E160+E161+E162+E163</f>
        <v>#REF!</v>
      </c>
      <c r="F159" s="72" t="e">
        <f t="shared" si="69"/>
        <v>#REF!</v>
      </c>
      <c r="G159" s="72">
        <f t="shared" si="69"/>
        <v>0</v>
      </c>
      <c r="H159" s="72">
        <f t="shared" si="69"/>
        <v>0</v>
      </c>
      <c r="I159" s="72">
        <f t="shared" si="69"/>
        <v>0</v>
      </c>
      <c r="J159" s="72">
        <f t="shared" si="69"/>
        <v>0</v>
      </c>
      <c r="K159" s="72">
        <f t="shared" si="69"/>
        <v>11250</v>
      </c>
      <c r="L159" s="72">
        <f t="shared" si="69"/>
        <v>11250</v>
      </c>
      <c r="M159" s="72">
        <f t="shared" si="68"/>
        <v>0</v>
      </c>
      <c r="N159" s="72">
        <f t="shared" ref="N159:X159" si="70">N160+N161+N162+N163</f>
        <v>0</v>
      </c>
      <c r="O159" s="72" t="e">
        <f t="shared" si="70"/>
        <v>#REF!</v>
      </c>
      <c r="P159" s="72">
        <f t="shared" si="70"/>
        <v>0</v>
      </c>
      <c r="Q159" s="72" t="e">
        <f t="shared" si="70"/>
        <v>#REF!</v>
      </c>
      <c r="R159" s="72">
        <f t="shared" si="70"/>
        <v>11250</v>
      </c>
      <c r="S159" s="72" t="e">
        <f t="shared" si="70"/>
        <v>#REF!</v>
      </c>
      <c r="T159" s="72" t="e">
        <f t="shared" si="70"/>
        <v>#REF!</v>
      </c>
      <c r="U159" s="72" t="e">
        <f t="shared" si="70"/>
        <v>#REF!</v>
      </c>
      <c r="V159" s="72" t="e">
        <f t="shared" si="70"/>
        <v>#REF!</v>
      </c>
      <c r="W159" s="72" t="e">
        <f t="shared" si="70"/>
        <v>#REF!</v>
      </c>
      <c r="X159" s="72" t="e">
        <f t="shared" si="70"/>
        <v>#REF!</v>
      </c>
      <c r="Z159" s="35" t="s">
        <v>109</v>
      </c>
      <c r="AA159" s="37"/>
      <c r="AB159" s="72" t="e">
        <f>AB160+AB161+AB162+AB163</f>
        <v>#REF!</v>
      </c>
      <c r="AC159" s="65">
        <f>AC160+AC161+AC162+AC163</f>
        <v>0.7067734633466829</v>
      </c>
    </row>
    <row r="160" spans="2:29" ht="15" customHeight="1" x14ac:dyDescent="0.25">
      <c r="B160" s="42" t="s">
        <v>106</v>
      </c>
      <c r="C160" s="43"/>
      <c r="D160" s="68">
        <f>5.5+AC160</f>
        <v>5.853386731673341</v>
      </c>
      <c r="E160" s="73" t="e">
        <f>(P160+Q160+R160+U160+V160)*$C$168</f>
        <v>#REF!</v>
      </c>
      <c r="F160" s="73" t="e">
        <f t="shared" ref="F160:F163" si="71">E160</f>
        <v>#REF!</v>
      </c>
      <c r="G160" s="73">
        <v>0</v>
      </c>
      <c r="H160" s="73">
        <v>0</v>
      </c>
      <c r="I160" s="73">
        <v>0</v>
      </c>
      <c r="J160" s="73">
        <v>0</v>
      </c>
      <c r="K160" s="73">
        <f>R160</f>
        <v>0</v>
      </c>
      <c r="L160" s="73">
        <f>G160+H160+I160+J160+K160</f>
        <v>0</v>
      </c>
      <c r="M160" s="73">
        <v>0</v>
      </c>
      <c r="N160" s="73">
        <f t="shared" ref="N160:N163" si="72">M160</f>
        <v>0</v>
      </c>
      <c r="O160" s="73" t="e">
        <f>F160+L160+N160</f>
        <v>#REF!</v>
      </c>
      <c r="P160" s="73">
        <v>0</v>
      </c>
      <c r="Q160" s="73" t="e">
        <f>0+AB160</f>
        <v>#REF!</v>
      </c>
      <c r="R160" s="73">
        <v>0</v>
      </c>
      <c r="S160" s="73" t="e">
        <f>P160+Q160+R160</f>
        <v>#REF!</v>
      </c>
      <c r="T160" s="73" t="e">
        <f>O160-S160</f>
        <v>#REF!</v>
      </c>
      <c r="U160" s="73" t="e">
        <f>D160*$D$130</f>
        <v>#REF!</v>
      </c>
      <c r="V160" s="73" t="e">
        <f>D160*$I$130</f>
        <v>#REF!</v>
      </c>
      <c r="W160" s="73" t="e">
        <f>U160+V160</f>
        <v>#REF!</v>
      </c>
      <c r="X160" s="73" t="e">
        <f>T160-W160</f>
        <v>#REF!</v>
      </c>
      <c r="Z160" s="42" t="s">
        <v>106</v>
      </c>
      <c r="AA160" s="43"/>
      <c r="AB160" s="73" t="e">
        <f>$AB$168/$D$168*D160</f>
        <v>#REF!</v>
      </c>
      <c r="AC160" s="68">
        <v>0.35338673167334145</v>
      </c>
    </row>
    <row r="161" spans="2:29" ht="15" customHeight="1" x14ac:dyDescent="0.25">
      <c r="B161" s="44" t="s">
        <v>110</v>
      </c>
      <c r="C161" s="45"/>
      <c r="D161" s="69">
        <f>3.5+AC161</f>
        <v>3.7248824656103081</v>
      </c>
      <c r="E161" s="74" t="e">
        <f>(P161+Q161+R161+U161+V161)*$C$168</f>
        <v>#REF!</v>
      </c>
      <c r="F161" s="74" t="e">
        <f t="shared" si="71"/>
        <v>#REF!</v>
      </c>
      <c r="G161" s="74">
        <v>0</v>
      </c>
      <c r="H161" s="74">
        <v>0</v>
      </c>
      <c r="I161" s="74">
        <v>0</v>
      </c>
      <c r="J161" s="74">
        <v>0</v>
      </c>
      <c r="K161" s="74">
        <f>R161</f>
        <v>11250</v>
      </c>
      <c r="L161" s="74">
        <f t="shared" ref="L161:L163" si="73">G161+H161+I161+J161+K161</f>
        <v>11250</v>
      </c>
      <c r="M161" s="74">
        <v>0</v>
      </c>
      <c r="N161" s="74">
        <f t="shared" si="72"/>
        <v>0</v>
      </c>
      <c r="O161" s="74" t="e">
        <f t="shared" ref="O161:O163" si="74">F161+L161+N161</f>
        <v>#REF!</v>
      </c>
      <c r="P161" s="74">
        <v>0</v>
      </c>
      <c r="Q161" s="74" t="e">
        <f>0+AB161</f>
        <v>#REF!</v>
      </c>
      <c r="R161" s="74">
        <v>11250</v>
      </c>
      <c r="S161" s="74" t="e">
        <f>P161+Q161+R161</f>
        <v>#REF!</v>
      </c>
      <c r="T161" s="74" t="e">
        <f>O161-S161</f>
        <v>#REF!</v>
      </c>
      <c r="U161" s="74" t="e">
        <f>D161*$D$130</f>
        <v>#REF!</v>
      </c>
      <c r="V161" s="74" t="e">
        <f>D161*$I$130</f>
        <v>#REF!</v>
      </c>
      <c r="W161" s="74" t="e">
        <f>U161+V161</f>
        <v>#REF!</v>
      </c>
      <c r="X161" s="74" t="e">
        <f t="shared" ref="X161:X163" si="75">T161-W161</f>
        <v>#REF!</v>
      </c>
      <c r="Z161" s="44" t="s">
        <v>110</v>
      </c>
      <c r="AA161" s="45"/>
      <c r="AB161" s="74" t="e">
        <f>$AB$168/$D$168*D161</f>
        <v>#REF!</v>
      </c>
      <c r="AC161" s="69">
        <v>0.2248824656103082</v>
      </c>
    </row>
    <row r="162" spans="2:29" ht="15" customHeight="1" x14ac:dyDescent="0.25">
      <c r="B162" s="42" t="s">
        <v>111</v>
      </c>
      <c r="C162" s="43"/>
      <c r="D162" s="68">
        <f>0.25+AC162</f>
        <v>0.26606303325787917</v>
      </c>
      <c r="E162" s="73" t="e">
        <f>(P162+Q162+R162+U162+V162)*$C$168</f>
        <v>#REF!</v>
      </c>
      <c r="F162" s="73" t="e">
        <f t="shared" si="71"/>
        <v>#REF!</v>
      </c>
      <c r="G162" s="73">
        <v>0</v>
      </c>
      <c r="H162" s="73">
        <v>0</v>
      </c>
      <c r="I162" s="73">
        <v>0</v>
      </c>
      <c r="J162" s="73">
        <v>0</v>
      </c>
      <c r="K162" s="73">
        <f>R162</f>
        <v>0</v>
      </c>
      <c r="L162" s="73">
        <f t="shared" si="73"/>
        <v>0</v>
      </c>
      <c r="M162" s="73">
        <v>0</v>
      </c>
      <c r="N162" s="73">
        <f t="shared" si="72"/>
        <v>0</v>
      </c>
      <c r="O162" s="73" t="e">
        <f t="shared" si="74"/>
        <v>#REF!</v>
      </c>
      <c r="P162" s="73">
        <v>0</v>
      </c>
      <c r="Q162" s="73" t="e">
        <f>0+AB162</f>
        <v>#REF!</v>
      </c>
      <c r="R162" s="73">
        <v>0</v>
      </c>
      <c r="S162" s="73" t="e">
        <f>P162+Q162+R162</f>
        <v>#REF!</v>
      </c>
      <c r="T162" s="73" t="e">
        <f>O162-S162</f>
        <v>#REF!</v>
      </c>
      <c r="U162" s="73" t="e">
        <f>D162*$D$130</f>
        <v>#REF!</v>
      </c>
      <c r="V162" s="73" t="e">
        <f>D162*$I$130</f>
        <v>#REF!</v>
      </c>
      <c r="W162" s="73" t="e">
        <f>U162+V162</f>
        <v>#REF!</v>
      </c>
      <c r="X162" s="73" t="e">
        <f t="shared" si="75"/>
        <v>#REF!</v>
      </c>
      <c r="Z162" s="42" t="s">
        <v>111</v>
      </c>
      <c r="AA162" s="43"/>
      <c r="AB162" s="73" t="e">
        <f>$AB$168/$D$168*D162</f>
        <v>#REF!</v>
      </c>
      <c r="AC162" s="68">
        <v>1.6063033257879156E-2</v>
      </c>
    </row>
    <row r="163" spans="2:29" ht="15" customHeight="1" x14ac:dyDescent="0.25">
      <c r="B163" s="44" t="s">
        <v>112</v>
      </c>
      <c r="C163" s="47"/>
      <c r="D163" s="69">
        <f>1.75+AC163</f>
        <v>1.8624412328051541</v>
      </c>
      <c r="E163" s="74" t="e">
        <f>(P163+Q163+R163+U163+V163)*$C$168</f>
        <v>#REF!</v>
      </c>
      <c r="F163" s="74" t="e">
        <f t="shared" si="71"/>
        <v>#REF!</v>
      </c>
      <c r="G163" s="74">
        <v>0</v>
      </c>
      <c r="H163" s="74">
        <v>0</v>
      </c>
      <c r="I163" s="74">
        <v>0</v>
      </c>
      <c r="J163" s="74">
        <v>0</v>
      </c>
      <c r="K163" s="74">
        <f>R163</f>
        <v>0</v>
      </c>
      <c r="L163" s="74">
        <f t="shared" si="73"/>
        <v>0</v>
      </c>
      <c r="M163" s="74">
        <v>0</v>
      </c>
      <c r="N163" s="74">
        <f t="shared" si="72"/>
        <v>0</v>
      </c>
      <c r="O163" s="74" t="e">
        <f t="shared" si="74"/>
        <v>#REF!</v>
      </c>
      <c r="P163" s="74">
        <v>0</v>
      </c>
      <c r="Q163" s="74" t="e">
        <f>0+AB163</f>
        <v>#REF!</v>
      </c>
      <c r="R163" s="74">
        <v>0</v>
      </c>
      <c r="S163" s="74" t="e">
        <f>P163+Q163+R163</f>
        <v>#REF!</v>
      </c>
      <c r="T163" s="74" t="e">
        <f>O163-S163</f>
        <v>#REF!</v>
      </c>
      <c r="U163" s="74" t="e">
        <f>D163*$D$130</f>
        <v>#REF!</v>
      </c>
      <c r="V163" s="74" t="e">
        <f>D163*$I$130</f>
        <v>#REF!</v>
      </c>
      <c r="W163" s="74" t="e">
        <f>U163+V163</f>
        <v>#REF!</v>
      </c>
      <c r="X163" s="74" t="e">
        <f t="shared" si="75"/>
        <v>#REF!</v>
      </c>
      <c r="Z163" s="44" t="s">
        <v>112</v>
      </c>
      <c r="AA163" s="47"/>
      <c r="AB163" s="74" t="e">
        <f>$AB$168/$D$168*D163</f>
        <v>#REF!</v>
      </c>
      <c r="AC163" s="69">
        <v>0.1124412328051541</v>
      </c>
    </row>
    <row r="164" spans="2:29" ht="15" customHeight="1" x14ac:dyDescent="0.25">
      <c r="B164" s="35" t="s">
        <v>113</v>
      </c>
      <c r="C164" s="37"/>
      <c r="D164" s="65">
        <f t="shared" ref="D164:M164" si="76">D165+D166+D167</f>
        <v>11.440710430088803</v>
      </c>
      <c r="E164" s="72" t="e">
        <f t="shared" ref="E164:L164" si="77">E165+E166+E167</f>
        <v>#REF!</v>
      </c>
      <c r="F164" s="72" t="e">
        <f t="shared" si="77"/>
        <v>#REF!</v>
      </c>
      <c r="G164" s="72">
        <f t="shared" si="77"/>
        <v>0</v>
      </c>
      <c r="H164" s="72">
        <f t="shared" si="77"/>
        <v>0</v>
      </c>
      <c r="I164" s="72">
        <f t="shared" si="77"/>
        <v>0</v>
      </c>
      <c r="J164" s="72">
        <f t="shared" si="77"/>
        <v>0</v>
      </c>
      <c r="K164" s="72">
        <f t="shared" si="77"/>
        <v>0</v>
      </c>
      <c r="L164" s="72">
        <f t="shared" si="77"/>
        <v>0</v>
      </c>
      <c r="M164" s="72">
        <f t="shared" si="76"/>
        <v>0</v>
      </c>
      <c r="N164" s="72">
        <f t="shared" ref="N164:X164" si="78">N165+N166+N167</f>
        <v>0</v>
      </c>
      <c r="O164" s="72" t="e">
        <f t="shared" si="78"/>
        <v>#REF!</v>
      </c>
      <c r="P164" s="72">
        <f t="shared" si="78"/>
        <v>0</v>
      </c>
      <c r="Q164" s="72" t="e">
        <f t="shared" si="78"/>
        <v>#REF!</v>
      </c>
      <c r="R164" s="72">
        <f t="shared" si="78"/>
        <v>0</v>
      </c>
      <c r="S164" s="72" t="e">
        <f t="shared" si="78"/>
        <v>#REF!</v>
      </c>
      <c r="T164" s="72" t="e">
        <f t="shared" si="78"/>
        <v>#REF!</v>
      </c>
      <c r="U164" s="72" t="e">
        <f t="shared" si="78"/>
        <v>#REF!</v>
      </c>
      <c r="V164" s="72" t="e">
        <f t="shared" si="78"/>
        <v>#REF!</v>
      </c>
      <c r="W164" s="72" t="e">
        <f t="shared" si="78"/>
        <v>#REF!</v>
      </c>
      <c r="X164" s="72" t="e">
        <f t="shared" si="78"/>
        <v>#REF!</v>
      </c>
      <c r="Z164" s="35" t="s">
        <v>113</v>
      </c>
      <c r="AA164" s="37"/>
      <c r="AB164" s="72" t="e">
        <f>AB165+AB166+AB167</f>
        <v>#REF!</v>
      </c>
      <c r="AC164" s="65">
        <f>AC165+AC166+AC167</f>
        <v>0.69071043008880373</v>
      </c>
    </row>
    <row r="165" spans="2:29" ht="15" customHeight="1" x14ac:dyDescent="0.25">
      <c r="B165" s="42" t="s">
        <v>114</v>
      </c>
      <c r="C165" s="46"/>
      <c r="D165" s="68">
        <f>0+AC165</f>
        <v>0</v>
      </c>
      <c r="E165" s="73" t="e">
        <f>(P165+Q165+R165+U165+V165)*$C$168</f>
        <v>#REF!</v>
      </c>
      <c r="F165" s="73" t="e">
        <f t="shared" ref="F165:F167" si="79">E165</f>
        <v>#REF!</v>
      </c>
      <c r="G165" s="73">
        <v>0</v>
      </c>
      <c r="H165" s="73">
        <v>0</v>
      </c>
      <c r="I165" s="73">
        <v>0</v>
      </c>
      <c r="J165" s="73">
        <v>0</v>
      </c>
      <c r="K165" s="73">
        <f>R165</f>
        <v>0</v>
      </c>
      <c r="L165" s="73">
        <f>G165+H165+I165+J165+K165</f>
        <v>0</v>
      </c>
      <c r="M165" s="73">
        <v>0</v>
      </c>
      <c r="N165" s="73">
        <f t="shared" ref="N165:N167" si="80">M165</f>
        <v>0</v>
      </c>
      <c r="O165" s="73" t="e">
        <f>F165+L165+N165</f>
        <v>#REF!</v>
      </c>
      <c r="P165" s="73">
        <v>0</v>
      </c>
      <c r="Q165" s="73" t="e">
        <f>0+AB165</f>
        <v>#REF!</v>
      </c>
      <c r="R165" s="73">
        <v>0</v>
      </c>
      <c r="S165" s="73" t="e">
        <f>P165+Q165+R165</f>
        <v>#REF!</v>
      </c>
      <c r="T165" s="73" t="e">
        <f>O165-S165</f>
        <v>#REF!</v>
      </c>
      <c r="U165" s="73" t="e">
        <f>D165*$D$130</f>
        <v>#REF!</v>
      </c>
      <c r="V165" s="73" t="e">
        <f>D165*$I$130</f>
        <v>#REF!</v>
      </c>
      <c r="W165" s="73" t="e">
        <f>U165+V165</f>
        <v>#REF!</v>
      </c>
      <c r="X165" s="73" t="e">
        <f>T165-W165</f>
        <v>#REF!</v>
      </c>
      <c r="Z165" s="42" t="s">
        <v>114</v>
      </c>
      <c r="AA165" s="46"/>
      <c r="AB165" s="73" t="e">
        <f>$AB$168/$D$168*D165</f>
        <v>#REF!</v>
      </c>
      <c r="AC165" s="68">
        <v>0</v>
      </c>
    </row>
    <row r="166" spans="2:29" ht="15" customHeight="1" x14ac:dyDescent="0.25">
      <c r="B166" s="44" t="s">
        <v>115</v>
      </c>
      <c r="C166" s="47"/>
      <c r="D166" s="69">
        <f>4.75+AC166</f>
        <v>5.0551976318997038</v>
      </c>
      <c r="E166" s="74" t="e">
        <f>(P166+Q166+R166+U166+V166)*$C$168</f>
        <v>#REF!</v>
      </c>
      <c r="F166" s="74" t="e">
        <f t="shared" si="79"/>
        <v>#REF!</v>
      </c>
      <c r="G166" s="74">
        <v>0</v>
      </c>
      <c r="H166" s="74">
        <v>0</v>
      </c>
      <c r="I166" s="74">
        <v>0</v>
      </c>
      <c r="J166" s="74">
        <v>0</v>
      </c>
      <c r="K166" s="74">
        <f>R166</f>
        <v>0</v>
      </c>
      <c r="L166" s="74">
        <f t="shared" ref="L166:L167" si="81">G166+H166+I166+J166+K166</f>
        <v>0</v>
      </c>
      <c r="M166" s="74">
        <v>0</v>
      </c>
      <c r="N166" s="74">
        <f t="shared" si="80"/>
        <v>0</v>
      </c>
      <c r="O166" s="74" t="e">
        <f t="shared" ref="O166:O167" si="82">F166+L166+N166</f>
        <v>#REF!</v>
      </c>
      <c r="P166" s="74">
        <v>0</v>
      </c>
      <c r="Q166" s="74" t="e">
        <f>1000+AB166</f>
        <v>#REF!</v>
      </c>
      <c r="R166" s="74">
        <v>0</v>
      </c>
      <c r="S166" s="74" t="e">
        <f>P166+Q166+R166</f>
        <v>#REF!</v>
      </c>
      <c r="T166" s="74" t="e">
        <f>O166-S166</f>
        <v>#REF!</v>
      </c>
      <c r="U166" s="74" t="e">
        <f>D166*$D$130</f>
        <v>#REF!</v>
      </c>
      <c r="V166" s="74" t="e">
        <f>D166*$I$130</f>
        <v>#REF!</v>
      </c>
      <c r="W166" s="74" t="e">
        <f>U166+V166</f>
        <v>#REF!</v>
      </c>
      <c r="X166" s="74" t="e">
        <f>T166-W166</f>
        <v>#REF!</v>
      </c>
      <c r="Z166" s="44" t="s">
        <v>115</v>
      </c>
      <c r="AA166" s="47"/>
      <c r="AB166" s="74" t="e">
        <f>$AB$168/$D$168*D166</f>
        <v>#REF!</v>
      </c>
      <c r="AC166" s="69">
        <v>0.30519763189970395</v>
      </c>
    </row>
    <row r="167" spans="2:29" ht="15" customHeight="1" x14ac:dyDescent="0.25">
      <c r="B167" s="42" t="s">
        <v>116</v>
      </c>
      <c r="C167" s="46"/>
      <c r="D167" s="68">
        <f>6+AC167</f>
        <v>6.3855127981891</v>
      </c>
      <c r="E167" s="73" t="e">
        <f>(P167+Q167+R167+U167+V167)*$C$168</f>
        <v>#REF!</v>
      </c>
      <c r="F167" s="73" t="e">
        <f t="shared" si="79"/>
        <v>#REF!</v>
      </c>
      <c r="G167" s="73">
        <v>0</v>
      </c>
      <c r="H167" s="73">
        <v>0</v>
      </c>
      <c r="I167" s="73">
        <v>0</v>
      </c>
      <c r="J167" s="73">
        <v>0</v>
      </c>
      <c r="K167" s="73">
        <f>R167</f>
        <v>0</v>
      </c>
      <c r="L167" s="73">
        <f t="shared" si="81"/>
        <v>0</v>
      </c>
      <c r="M167" s="73">
        <v>0</v>
      </c>
      <c r="N167" s="73">
        <f t="shared" si="80"/>
        <v>0</v>
      </c>
      <c r="O167" s="73" t="e">
        <f t="shared" si="82"/>
        <v>#REF!</v>
      </c>
      <c r="P167" s="73">
        <v>0</v>
      </c>
      <c r="Q167" s="73" t="e">
        <f>0+AB167</f>
        <v>#REF!</v>
      </c>
      <c r="R167" s="73">
        <v>0</v>
      </c>
      <c r="S167" s="73" t="e">
        <f>P167+Q167+R167</f>
        <v>#REF!</v>
      </c>
      <c r="T167" s="73" t="e">
        <f>O167-S167</f>
        <v>#REF!</v>
      </c>
      <c r="U167" s="73" t="e">
        <f>D167*$D$130</f>
        <v>#REF!</v>
      </c>
      <c r="V167" s="73" t="e">
        <f>D167*$I$130</f>
        <v>#REF!</v>
      </c>
      <c r="W167" s="73" t="e">
        <f>U167+V167</f>
        <v>#REF!</v>
      </c>
      <c r="X167" s="73" t="e">
        <f>T167-W167</f>
        <v>#REF!</v>
      </c>
      <c r="Z167" s="42" t="s">
        <v>116</v>
      </c>
      <c r="AA167" s="46"/>
      <c r="AB167" s="73" t="e">
        <f>$AB$168/$D$168*D167</f>
        <v>#REF!</v>
      </c>
      <c r="AC167" s="68">
        <v>0.38551279818909978</v>
      </c>
    </row>
    <row r="168" spans="2:29" ht="15" customHeight="1" x14ac:dyDescent="0.25">
      <c r="B168" s="49" t="s">
        <v>117</v>
      </c>
      <c r="C168" s="97" t="e">
        <f>#REF!/#REF!</f>
        <v>#REF!</v>
      </c>
      <c r="D168" s="66">
        <f t="shared" ref="D168:M168" si="83">D134+D143+D154</f>
        <v>764</v>
      </c>
      <c r="E168" s="75" t="e">
        <f t="shared" ref="E168:L168" si="84">E134+E143+E154</f>
        <v>#REF!</v>
      </c>
      <c r="F168" s="75" t="e">
        <f t="shared" si="84"/>
        <v>#REF!</v>
      </c>
      <c r="G168" s="75" t="e">
        <f t="shared" si="84"/>
        <v>#REF!</v>
      </c>
      <c r="H168" s="75" t="e">
        <f t="shared" si="84"/>
        <v>#REF!</v>
      </c>
      <c r="I168" s="75" t="e">
        <f t="shared" si="84"/>
        <v>#REF!</v>
      </c>
      <c r="J168" s="75">
        <f t="shared" si="84"/>
        <v>0</v>
      </c>
      <c r="K168" s="75">
        <f t="shared" si="84"/>
        <v>76650</v>
      </c>
      <c r="L168" s="75" t="e">
        <f t="shared" si="84"/>
        <v>#REF!</v>
      </c>
      <c r="M168" s="75">
        <f t="shared" si="83"/>
        <v>0</v>
      </c>
      <c r="N168" s="75">
        <f t="shared" ref="N168:X168" si="85">N134+N143+N154</f>
        <v>0</v>
      </c>
      <c r="O168" s="75" t="e">
        <f t="shared" si="85"/>
        <v>#REF!</v>
      </c>
      <c r="P168" s="75" t="e">
        <f t="shared" si="85"/>
        <v>#REF!</v>
      </c>
      <c r="Q168" s="75" t="e">
        <f t="shared" si="85"/>
        <v>#REF!</v>
      </c>
      <c r="R168" s="75">
        <f t="shared" si="85"/>
        <v>76650</v>
      </c>
      <c r="S168" s="75" t="e">
        <f t="shared" si="85"/>
        <v>#REF!</v>
      </c>
      <c r="T168" s="75" t="e">
        <f t="shared" si="85"/>
        <v>#REF!</v>
      </c>
      <c r="U168" s="75" t="e">
        <f t="shared" si="85"/>
        <v>#REF!</v>
      </c>
      <c r="V168" s="75" t="e">
        <f t="shared" si="85"/>
        <v>#REF!</v>
      </c>
      <c r="W168" s="75" t="e">
        <f t="shared" si="85"/>
        <v>#REF!</v>
      </c>
      <c r="X168" s="75" t="e">
        <f t="shared" si="85"/>
        <v>#REF!</v>
      </c>
      <c r="Z168" s="49" t="s">
        <v>117</v>
      </c>
      <c r="AA168" s="50"/>
      <c r="AB168" s="75" t="e">
        <f>#REF!+#REF!+#REF!+#REF!+#REF!+#REF!</f>
        <v>#REF!</v>
      </c>
      <c r="AC168" s="66">
        <f t="shared" ref="AC168" si="86">AC134+AC143+AC154</f>
        <v>46.124999999999993</v>
      </c>
    </row>
    <row r="170" spans="2:29" ht="15" customHeight="1" x14ac:dyDescent="0.25">
      <c r="E170" s="82" t="s">
        <v>29</v>
      </c>
      <c r="F170" s="82" t="s">
        <v>318</v>
      </c>
      <c r="G170" s="82" t="s">
        <v>30</v>
      </c>
      <c r="H170" s="82" t="s">
        <v>31</v>
      </c>
      <c r="I170" s="82" t="s">
        <v>32</v>
      </c>
      <c r="J170" s="82" t="s">
        <v>33</v>
      </c>
      <c r="K170" s="82" t="s">
        <v>34</v>
      </c>
      <c r="L170" s="82" t="s">
        <v>319</v>
      </c>
      <c r="M170" s="82" t="s">
        <v>35</v>
      </c>
      <c r="N170" s="82" t="s">
        <v>322</v>
      </c>
      <c r="O170" s="82" t="s">
        <v>154</v>
      </c>
      <c r="P170" s="83" t="s">
        <v>48</v>
      </c>
      <c r="Q170" s="83" t="s">
        <v>49</v>
      </c>
      <c r="R170" s="83" t="s">
        <v>149</v>
      </c>
      <c r="S170" s="83" t="s">
        <v>152</v>
      </c>
      <c r="T170" s="82" t="s">
        <v>150</v>
      </c>
      <c r="U170" s="83" t="s">
        <v>40</v>
      </c>
      <c r="V170" s="83" t="s">
        <v>41</v>
      </c>
      <c r="W170" s="83" t="s">
        <v>153</v>
      </c>
      <c r="X170" s="82" t="s">
        <v>151</v>
      </c>
    </row>
    <row r="171" spans="2:29" ht="15" customHeight="1" x14ac:dyDescent="0.25">
      <c r="B171" s="33" t="s">
        <v>137</v>
      </c>
      <c r="C171" s="34"/>
      <c r="D171" s="62" t="s">
        <v>138</v>
      </c>
      <c r="E171" s="78" t="s">
        <v>156</v>
      </c>
      <c r="F171" s="79" t="s">
        <v>317</v>
      </c>
      <c r="G171" s="78" t="s">
        <v>80</v>
      </c>
      <c r="H171" s="78" t="s">
        <v>44</v>
      </c>
      <c r="I171" s="78" t="s">
        <v>146</v>
      </c>
      <c r="J171" s="78" t="s">
        <v>155</v>
      </c>
      <c r="K171" s="78" t="s">
        <v>50</v>
      </c>
      <c r="L171" s="79" t="s">
        <v>320</v>
      </c>
      <c r="M171" s="78" t="s">
        <v>157</v>
      </c>
      <c r="N171" s="79" t="s">
        <v>317</v>
      </c>
      <c r="O171" s="79" t="s">
        <v>78</v>
      </c>
      <c r="P171" s="78" t="s">
        <v>43</v>
      </c>
      <c r="Q171" s="78" t="s">
        <v>145</v>
      </c>
      <c r="R171" s="78" t="s">
        <v>50</v>
      </c>
      <c r="S171" s="80" t="s">
        <v>312</v>
      </c>
      <c r="T171" s="79" t="s">
        <v>147</v>
      </c>
      <c r="U171" s="78" t="s">
        <v>54</v>
      </c>
      <c r="V171" s="78" t="s">
        <v>142</v>
      </c>
      <c r="W171" s="80" t="s">
        <v>313</v>
      </c>
      <c r="X171" s="79" t="s">
        <v>148</v>
      </c>
      <c r="Z171" s="33" t="s">
        <v>137</v>
      </c>
      <c r="AA171" s="34"/>
      <c r="AB171" s="78" t="s">
        <v>139</v>
      </c>
      <c r="AC171" s="78" t="s">
        <v>260</v>
      </c>
    </row>
    <row r="172" spans="2:29" ht="15" customHeight="1" x14ac:dyDescent="0.25">
      <c r="B172" s="51" t="s">
        <v>119</v>
      </c>
      <c r="C172" s="52"/>
      <c r="D172" s="67">
        <f t="shared" ref="D172:M172" si="87">D173+D174+D175</f>
        <v>163.08896797153025</v>
      </c>
      <c r="E172" s="76" t="e">
        <f t="shared" ref="E172:L172" si="88">E173+E174+E175</f>
        <v>#REF!</v>
      </c>
      <c r="F172" s="76" t="e">
        <f t="shared" si="88"/>
        <v>#REF!</v>
      </c>
      <c r="G172" s="76">
        <f t="shared" si="88"/>
        <v>0</v>
      </c>
      <c r="H172" s="76">
        <f t="shared" si="88"/>
        <v>0</v>
      </c>
      <c r="I172" s="76" t="e">
        <f t="shared" si="88"/>
        <v>#REF!</v>
      </c>
      <c r="J172" s="76" t="e">
        <f t="shared" si="88"/>
        <v>#REF!</v>
      </c>
      <c r="K172" s="76">
        <f t="shared" si="88"/>
        <v>41370</v>
      </c>
      <c r="L172" s="76" t="e">
        <f t="shared" si="88"/>
        <v>#REF!</v>
      </c>
      <c r="M172" s="76">
        <f t="shared" si="87"/>
        <v>0</v>
      </c>
      <c r="N172" s="76">
        <f t="shared" ref="N172:X172" si="89">N173+N174+N175</f>
        <v>0</v>
      </c>
      <c r="O172" s="76" t="e">
        <f t="shared" si="89"/>
        <v>#REF!</v>
      </c>
      <c r="P172" s="76" t="e">
        <f t="shared" si="89"/>
        <v>#REF!</v>
      </c>
      <c r="Q172" s="76" t="e">
        <f t="shared" si="89"/>
        <v>#REF!</v>
      </c>
      <c r="R172" s="76">
        <f t="shared" si="89"/>
        <v>41370</v>
      </c>
      <c r="S172" s="76" t="e">
        <f t="shared" si="89"/>
        <v>#REF!</v>
      </c>
      <c r="T172" s="76" t="e">
        <f t="shared" si="89"/>
        <v>#REF!</v>
      </c>
      <c r="U172" s="76" t="e">
        <f t="shared" si="89"/>
        <v>#REF!</v>
      </c>
      <c r="V172" s="76" t="e">
        <f t="shared" si="89"/>
        <v>#REF!</v>
      </c>
      <c r="W172" s="76" t="e">
        <f t="shared" si="89"/>
        <v>#REF!</v>
      </c>
      <c r="X172" s="76" t="e">
        <f t="shared" si="89"/>
        <v>#REF!</v>
      </c>
      <c r="Z172" s="51" t="s">
        <v>119</v>
      </c>
      <c r="AA172" s="52"/>
      <c r="AB172" s="76" t="e">
        <f>AB173+AB174+AB175</f>
        <v>#REF!</v>
      </c>
      <c r="AC172" s="67">
        <f>AC173+AC174+AC175</f>
        <v>11.08896797153025</v>
      </c>
    </row>
    <row r="173" spans="2:29" ht="15" customHeight="1" x14ac:dyDescent="0.25">
      <c r="B173" s="42" t="s">
        <v>120</v>
      </c>
      <c r="C173" s="46"/>
      <c r="D173" s="68">
        <f>71.25+AC173</f>
        <v>76.44795373665481</v>
      </c>
      <c r="E173" s="73" t="e">
        <f>(P173+Q173+R173+U173+V173)</f>
        <v>#REF!</v>
      </c>
      <c r="F173" s="73" t="e">
        <f>E173</f>
        <v>#REF!</v>
      </c>
      <c r="G173" s="73">
        <v>0</v>
      </c>
      <c r="H173" s="73">
        <v>0</v>
      </c>
      <c r="I173" s="73">
        <v>0</v>
      </c>
      <c r="J173" s="73">
        <v>0</v>
      </c>
      <c r="K173" s="73">
        <f>R173</f>
        <v>29384</v>
      </c>
      <c r="L173" s="73">
        <f>G173+H173+I173+J173+K173</f>
        <v>29384</v>
      </c>
      <c r="M173" s="73">
        <v>0</v>
      </c>
      <c r="N173" s="73">
        <f>M173</f>
        <v>0</v>
      </c>
      <c r="O173" s="73" t="e">
        <f>F173+L173+N173</f>
        <v>#REF!</v>
      </c>
      <c r="P173" s="73">
        <v>0</v>
      </c>
      <c r="Q173" s="73" t="e">
        <f>72300+AB173</f>
        <v>#REF!</v>
      </c>
      <c r="R173" s="73">
        <v>29384</v>
      </c>
      <c r="S173" s="73" t="e">
        <f>P173+Q173+R173</f>
        <v>#REF!</v>
      </c>
      <c r="T173" s="73" t="e">
        <f>O173-S173</f>
        <v>#REF!</v>
      </c>
      <c r="U173" s="73" t="e">
        <f>D173*$E$130</f>
        <v>#REF!</v>
      </c>
      <c r="V173" s="73">
        <v>0</v>
      </c>
      <c r="W173" s="73" t="e">
        <f>U173+V173</f>
        <v>#REF!</v>
      </c>
      <c r="X173" s="73" t="e">
        <f>T173-W173</f>
        <v>#REF!</v>
      </c>
      <c r="Z173" s="42" t="s">
        <v>120</v>
      </c>
      <c r="AA173" s="46"/>
      <c r="AB173" s="73" t="e">
        <f>$AB$184/$D$184*D173</f>
        <v>#REF!</v>
      </c>
      <c r="AC173" s="68">
        <v>5.1979537366548048</v>
      </c>
    </row>
    <row r="174" spans="2:29" ht="15" customHeight="1" x14ac:dyDescent="0.25">
      <c r="B174" s="53" t="s">
        <v>121</v>
      </c>
      <c r="C174" s="54"/>
      <c r="D174" s="70">
        <f>32.75+AC174</f>
        <v>35.139234875444842</v>
      </c>
      <c r="E174" s="77" t="e">
        <f>(P174+Q174+R174+U174+V174)*$C$184</f>
        <v>#REF!</v>
      </c>
      <c r="F174" s="77" t="e">
        <f>E174</f>
        <v>#REF!</v>
      </c>
      <c r="G174" s="77">
        <v>0</v>
      </c>
      <c r="H174" s="77">
        <v>0</v>
      </c>
      <c r="I174" s="77">
        <v>0</v>
      </c>
      <c r="J174" s="77">
        <v>0</v>
      </c>
      <c r="K174" s="77">
        <f>R174</f>
        <v>11986</v>
      </c>
      <c r="L174" s="77">
        <f t="shared" ref="L174:L175" si="90">G174+H174+I174+J174+K174</f>
        <v>11986</v>
      </c>
      <c r="M174" s="77">
        <v>0</v>
      </c>
      <c r="N174" s="77">
        <f>M174</f>
        <v>0</v>
      </c>
      <c r="O174" s="77" t="e">
        <f t="shared" ref="O174:O175" si="91">F174+L174+N174</f>
        <v>#REF!</v>
      </c>
      <c r="P174" s="77">
        <v>0</v>
      </c>
      <c r="Q174" s="77" t="e">
        <f>855.67+AB174</f>
        <v>#REF!</v>
      </c>
      <c r="R174" s="77">
        <v>11986</v>
      </c>
      <c r="S174" s="77" t="e">
        <f>P174+Q174+R174</f>
        <v>#REF!</v>
      </c>
      <c r="T174" s="77" t="e">
        <f>O174-S174</f>
        <v>#REF!</v>
      </c>
      <c r="U174" s="77" t="e">
        <f>D174*$E$130</f>
        <v>#REF!</v>
      </c>
      <c r="V174" s="77" t="e">
        <f>$J$120/($D$184-$D$173)*D174</f>
        <v>#REF!</v>
      </c>
      <c r="W174" s="77" t="e">
        <f>U174+V174</f>
        <v>#REF!</v>
      </c>
      <c r="X174" s="77" t="e">
        <f t="shared" ref="X174:X175" si="92">T174-W174</f>
        <v>#REF!</v>
      </c>
      <c r="Z174" s="53" t="s">
        <v>121</v>
      </c>
      <c r="AA174" s="54"/>
      <c r="AB174" s="77" t="e">
        <f>$AB$184/$D$184*D174</f>
        <v>#REF!</v>
      </c>
      <c r="AC174" s="70">
        <v>2.3892348754448398</v>
      </c>
    </row>
    <row r="175" spans="2:29" ht="15" customHeight="1" x14ac:dyDescent="0.25">
      <c r="B175" s="42" t="s">
        <v>122</v>
      </c>
      <c r="C175" s="46"/>
      <c r="D175" s="68">
        <f>48+AC175</f>
        <v>51.501779359430607</v>
      </c>
      <c r="E175" s="73" t="e">
        <f>(P175+Q175+R175+U175+V175)*$C$184</f>
        <v>#REF!</v>
      </c>
      <c r="F175" s="73" t="e">
        <f>E175</f>
        <v>#REF!</v>
      </c>
      <c r="G175" s="73">
        <v>0</v>
      </c>
      <c r="H175" s="73">
        <v>0</v>
      </c>
      <c r="I175" s="73" t="e">
        <f>#REF!</f>
        <v>#REF!</v>
      </c>
      <c r="J175" s="73" t="e">
        <f>#REF!</f>
        <v>#REF!</v>
      </c>
      <c r="K175" s="73">
        <f>R175</f>
        <v>0</v>
      </c>
      <c r="L175" s="73" t="e">
        <f t="shared" si="90"/>
        <v>#REF!</v>
      </c>
      <c r="M175" s="73">
        <v>0</v>
      </c>
      <c r="N175" s="73">
        <f>M175</f>
        <v>0</v>
      </c>
      <c r="O175" s="73" t="e">
        <f t="shared" si="91"/>
        <v>#REF!</v>
      </c>
      <c r="P175" s="73" t="e">
        <f>80320+#REF!</f>
        <v>#REF!</v>
      </c>
      <c r="Q175" s="73" t="e">
        <f>0+AB175</f>
        <v>#REF!</v>
      </c>
      <c r="R175" s="73">
        <v>0</v>
      </c>
      <c r="S175" s="73" t="e">
        <f>P175+Q175+R175</f>
        <v>#REF!</v>
      </c>
      <c r="T175" s="73" t="e">
        <f>O175-S175</f>
        <v>#REF!</v>
      </c>
      <c r="U175" s="73" t="e">
        <f>D175*$E$130</f>
        <v>#REF!</v>
      </c>
      <c r="V175" s="73" t="e">
        <f>$J$120/($D$184-$D$173)*D175</f>
        <v>#REF!</v>
      </c>
      <c r="W175" s="73" t="e">
        <f>U175+V175</f>
        <v>#REF!</v>
      </c>
      <c r="X175" s="73" t="e">
        <f t="shared" si="92"/>
        <v>#REF!</v>
      </c>
      <c r="Z175" s="42" t="s">
        <v>122</v>
      </c>
      <c r="AA175" s="46"/>
      <c r="AB175" s="73" t="e">
        <f>$AB$184/$D$184*D175</f>
        <v>#REF!</v>
      </c>
      <c r="AC175" s="68">
        <v>3.5017793594306053</v>
      </c>
    </row>
    <row r="176" spans="2:29" ht="15" customHeight="1" x14ac:dyDescent="0.25">
      <c r="B176" s="51" t="s">
        <v>123</v>
      </c>
      <c r="C176" s="52"/>
      <c r="D176" s="67">
        <f t="shared" ref="D176:M176" si="93">D177+D178+D179</f>
        <v>174.35498220640568</v>
      </c>
      <c r="E176" s="76" t="e">
        <f t="shared" ref="E176:L176" si="94">E177+E178+E179</f>
        <v>#REF!</v>
      </c>
      <c r="F176" s="76" t="e">
        <f t="shared" si="94"/>
        <v>#REF!</v>
      </c>
      <c r="G176" s="76">
        <f t="shared" si="94"/>
        <v>0</v>
      </c>
      <c r="H176" s="76">
        <f t="shared" si="94"/>
        <v>0</v>
      </c>
      <c r="I176" s="76" t="e">
        <f t="shared" si="94"/>
        <v>#REF!</v>
      </c>
      <c r="J176" s="76">
        <f t="shared" si="94"/>
        <v>0</v>
      </c>
      <c r="K176" s="76">
        <f t="shared" si="94"/>
        <v>83630</v>
      </c>
      <c r="L176" s="76" t="e">
        <f t="shared" si="94"/>
        <v>#REF!</v>
      </c>
      <c r="M176" s="76" t="e">
        <f t="shared" si="93"/>
        <v>#REF!</v>
      </c>
      <c r="N176" s="76" t="e">
        <f t="shared" ref="N176:X176" si="95">N177+N178+N179</f>
        <v>#REF!</v>
      </c>
      <c r="O176" s="76" t="e">
        <f t="shared" si="95"/>
        <v>#REF!</v>
      </c>
      <c r="P176" s="76">
        <f t="shared" si="95"/>
        <v>0</v>
      </c>
      <c r="Q176" s="76" t="e">
        <f t="shared" si="95"/>
        <v>#REF!</v>
      </c>
      <c r="R176" s="76">
        <f t="shared" si="95"/>
        <v>83630</v>
      </c>
      <c r="S176" s="76" t="e">
        <f t="shared" si="95"/>
        <v>#REF!</v>
      </c>
      <c r="T176" s="76" t="e">
        <f t="shared" si="95"/>
        <v>#REF!</v>
      </c>
      <c r="U176" s="76" t="e">
        <f t="shared" si="95"/>
        <v>#REF!</v>
      </c>
      <c r="V176" s="76" t="e">
        <f t="shared" si="95"/>
        <v>#REF!</v>
      </c>
      <c r="W176" s="76" t="e">
        <f t="shared" si="95"/>
        <v>#REF!</v>
      </c>
      <c r="X176" s="76" t="e">
        <f t="shared" si="95"/>
        <v>#REF!</v>
      </c>
      <c r="Z176" s="51" t="s">
        <v>123</v>
      </c>
      <c r="AA176" s="52"/>
      <c r="AB176" s="76" t="e">
        <f>AB177+AB178+AB179</f>
        <v>#REF!</v>
      </c>
      <c r="AC176" s="67">
        <f>AC177+AC178+AC179</f>
        <v>11.854982206405694</v>
      </c>
    </row>
    <row r="177" spans="2:29" ht="15" customHeight="1" x14ac:dyDescent="0.25">
      <c r="B177" s="42" t="s">
        <v>124</v>
      </c>
      <c r="C177" s="46"/>
      <c r="D177" s="68">
        <f>56.25+AC177</f>
        <v>60.353647686832744</v>
      </c>
      <c r="E177" s="73" t="e">
        <f>(P177+Q177+R177+U177+V177)*$C$184</f>
        <v>#REF!</v>
      </c>
      <c r="F177" s="73" t="e">
        <f>E177</f>
        <v>#REF!</v>
      </c>
      <c r="G177" s="73">
        <v>0</v>
      </c>
      <c r="H177" s="73">
        <v>0</v>
      </c>
      <c r="I177" s="73" t="e">
        <f>#REF!/(D177+D178+D179)*D177</f>
        <v>#REF!</v>
      </c>
      <c r="J177" s="73">
        <v>0</v>
      </c>
      <c r="K177" s="73">
        <f>R177</f>
        <v>0</v>
      </c>
      <c r="L177" s="73" t="e">
        <f>G177+H177+I177+J177+K177</f>
        <v>#REF!</v>
      </c>
      <c r="M177" s="73" t="e">
        <f>#REF!/(D177+D178+D179)*D177</f>
        <v>#REF!</v>
      </c>
      <c r="N177" s="73" t="e">
        <f>M177</f>
        <v>#REF!</v>
      </c>
      <c r="O177" s="73" t="e">
        <f>F177+L177+N177</f>
        <v>#REF!</v>
      </c>
      <c r="P177" s="73">
        <v>0</v>
      </c>
      <c r="Q177" s="73" t="e">
        <f>0+AB177</f>
        <v>#REF!</v>
      </c>
      <c r="R177" s="73">
        <v>0</v>
      </c>
      <c r="S177" s="73" t="e">
        <f>P177+Q177+R177</f>
        <v>#REF!</v>
      </c>
      <c r="T177" s="73" t="e">
        <f>O177-S177</f>
        <v>#REF!</v>
      </c>
      <c r="U177" s="73" t="e">
        <f>D177*$E$130</f>
        <v>#REF!</v>
      </c>
      <c r="V177" s="73" t="e">
        <f>$J$120/($D$184-$D$173)*D177</f>
        <v>#REF!</v>
      </c>
      <c r="W177" s="73" t="e">
        <f>U177+V177</f>
        <v>#REF!</v>
      </c>
      <c r="X177" s="73" t="e">
        <f>T177-W177</f>
        <v>#REF!</v>
      </c>
      <c r="Z177" s="42" t="s">
        <v>124</v>
      </c>
      <c r="AA177" s="46"/>
      <c r="AB177" s="73" t="e">
        <f>$AB$184/$D$184*D177</f>
        <v>#REF!</v>
      </c>
      <c r="AC177" s="68">
        <v>4.1036476868327405</v>
      </c>
    </row>
    <row r="178" spans="2:29" ht="15" customHeight="1" x14ac:dyDescent="0.25">
      <c r="B178" s="53" t="s">
        <v>125</v>
      </c>
      <c r="C178" s="54"/>
      <c r="D178" s="70">
        <f>29+AC178</f>
        <v>31.115658362989322</v>
      </c>
      <c r="E178" s="77" t="e">
        <f>(P178+Q178+R178+U178+V178)*$C$184</f>
        <v>#REF!</v>
      </c>
      <c r="F178" s="77" t="e">
        <f>E178</f>
        <v>#REF!</v>
      </c>
      <c r="G178" s="77">
        <v>0</v>
      </c>
      <c r="H178" s="77">
        <v>0</v>
      </c>
      <c r="I178" s="77" t="e">
        <f>#REF!/(D177+D178+D179)*D178</f>
        <v>#REF!</v>
      </c>
      <c r="J178" s="77">
        <v>0</v>
      </c>
      <c r="K178" s="77">
        <f>R178</f>
        <v>83630</v>
      </c>
      <c r="L178" s="77" t="e">
        <f t="shared" ref="L178:L179" si="96">G178+H178+I178+J178+K178</f>
        <v>#REF!</v>
      </c>
      <c r="M178" s="77" t="e">
        <f>#REF!/(D177+D178+D179)*D178</f>
        <v>#REF!</v>
      </c>
      <c r="N178" s="77" t="e">
        <f>M178</f>
        <v>#REF!</v>
      </c>
      <c r="O178" s="77" t="e">
        <f t="shared" ref="O178:O179" si="97">F178+L178+N178</f>
        <v>#REF!</v>
      </c>
      <c r="P178" s="77">
        <v>0</v>
      </c>
      <c r="Q178" s="77" t="e">
        <f>0+AB178</f>
        <v>#REF!</v>
      </c>
      <c r="R178" s="77">
        <v>83630</v>
      </c>
      <c r="S178" s="77" t="e">
        <f>P178+Q178+R178</f>
        <v>#REF!</v>
      </c>
      <c r="T178" s="77" t="e">
        <f>O178-S178</f>
        <v>#REF!</v>
      </c>
      <c r="U178" s="77" t="e">
        <f>D178*$E$130</f>
        <v>#REF!</v>
      </c>
      <c r="V178" s="77" t="e">
        <f>$J$120/($D$184-$D$173)*D178</f>
        <v>#REF!</v>
      </c>
      <c r="W178" s="77" t="e">
        <f>U178+V178</f>
        <v>#REF!</v>
      </c>
      <c r="X178" s="77" t="e">
        <f t="shared" ref="X178:X179" si="98">T178-W178</f>
        <v>#REF!</v>
      </c>
      <c r="Z178" s="53" t="s">
        <v>125</v>
      </c>
      <c r="AA178" s="54"/>
      <c r="AB178" s="77" t="e">
        <f>$AB$184/$D$184*D178</f>
        <v>#REF!</v>
      </c>
      <c r="AC178" s="70">
        <v>2.1156583629893237</v>
      </c>
    </row>
    <row r="179" spans="2:29" ht="15" customHeight="1" x14ac:dyDescent="0.25">
      <c r="B179" s="42" t="s">
        <v>126</v>
      </c>
      <c r="C179" s="46"/>
      <c r="D179" s="68">
        <f>77.25+AC179</f>
        <v>82.885676156583628</v>
      </c>
      <c r="E179" s="73" t="e">
        <f>(P179+Q179+R179+U179+V179)*$C$184</f>
        <v>#REF!</v>
      </c>
      <c r="F179" s="73" t="e">
        <f>E179</f>
        <v>#REF!</v>
      </c>
      <c r="G179" s="73">
        <v>0</v>
      </c>
      <c r="H179" s="73">
        <v>0</v>
      </c>
      <c r="I179" s="73" t="e">
        <f>#REF!/(D177+D178+D179)*D179</f>
        <v>#REF!</v>
      </c>
      <c r="J179" s="73">
        <v>0</v>
      </c>
      <c r="K179" s="73">
        <f>R179</f>
        <v>0</v>
      </c>
      <c r="L179" s="73" t="e">
        <f t="shared" si="96"/>
        <v>#REF!</v>
      </c>
      <c r="M179" s="73" t="e">
        <f>#REF!/(D177+D178+D179)*D179</f>
        <v>#REF!</v>
      </c>
      <c r="N179" s="73" t="e">
        <f>M179</f>
        <v>#REF!</v>
      </c>
      <c r="O179" s="73" t="e">
        <f t="shared" si="97"/>
        <v>#REF!</v>
      </c>
      <c r="P179" s="73">
        <v>0</v>
      </c>
      <c r="Q179" s="73" t="e">
        <f>40357.06+AB179</f>
        <v>#REF!</v>
      </c>
      <c r="R179" s="73">
        <v>0</v>
      </c>
      <c r="S179" s="73" t="e">
        <f>P179+Q179+R179</f>
        <v>#REF!</v>
      </c>
      <c r="T179" s="73" t="e">
        <f>O179-S179</f>
        <v>#REF!</v>
      </c>
      <c r="U179" s="73" t="e">
        <f>D179*$E$130</f>
        <v>#REF!</v>
      </c>
      <c r="V179" s="73" t="e">
        <f>$J$120/($D$184-$D$173)*D179</f>
        <v>#REF!</v>
      </c>
      <c r="W179" s="73" t="e">
        <f>U179+V179</f>
        <v>#REF!</v>
      </c>
      <c r="X179" s="73" t="e">
        <f t="shared" si="98"/>
        <v>#REF!</v>
      </c>
      <c r="Z179" s="42" t="s">
        <v>126</v>
      </c>
      <c r="AA179" s="46"/>
      <c r="AB179" s="73" t="e">
        <f>$AB$184/$D$184*D179</f>
        <v>#REF!</v>
      </c>
      <c r="AC179" s="68">
        <v>5.6356761565836297</v>
      </c>
    </row>
    <row r="180" spans="2:29" ht="15" customHeight="1" x14ac:dyDescent="0.25">
      <c r="B180" s="51" t="s">
        <v>127</v>
      </c>
      <c r="C180" s="52"/>
      <c r="D180" s="67">
        <f t="shared" ref="D180:M180" si="99">D181+D182+D183</f>
        <v>114.80604982206405</v>
      </c>
      <c r="E180" s="76" t="e">
        <f t="shared" ref="E180:L180" si="100">E181+E182+E183</f>
        <v>#REF!</v>
      </c>
      <c r="F180" s="76" t="e">
        <f t="shared" si="100"/>
        <v>#REF!</v>
      </c>
      <c r="G180" s="76">
        <f t="shared" si="100"/>
        <v>0</v>
      </c>
      <c r="H180" s="76">
        <f t="shared" si="100"/>
        <v>0</v>
      </c>
      <c r="I180" s="76">
        <f t="shared" si="100"/>
        <v>0</v>
      </c>
      <c r="J180" s="76">
        <f t="shared" si="100"/>
        <v>0</v>
      </c>
      <c r="K180" s="76">
        <f t="shared" si="100"/>
        <v>0</v>
      </c>
      <c r="L180" s="76">
        <f t="shared" si="100"/>
        <v>0</v>
      </c>
      <c r="M180" s="76">
        <f t="shared" si="99"/>
        <v>0</v>
      </c>
      <c r="N180" s="76">
        <f t="shared" ref="N180:X180" si="101">N181+N182+N183</f>
        <v>0</v>
      </c>
      <c r="O180" s="76" t="e">
        <f t="shared" si="101"/>
        <v>#REF!</v>
      </c>
      <c r="P180" s="76">
        <f t="shared" si="101"/>
        <v>0</v>
      </c>
      <c r="Q180" s="76" t="e">
        <f t="shared" si="101"/>
        <v>#REF!</v>
      </c>
      <c r="R180" s="76">
        <f t="shared" si="101"/>
        <v>0</v>
      </c>
      <c r="S180" s="76" t="e">
        <f t="shared" si="101"/>
        <v>#REF!</v>
      </c>
      <c r="T180" s="76" t="e">
        <f t="shared" si="101"/>
        <v>#REF!</v>
      </c>
      <c r="U180" s="76" t="e">
        <f t="shared" si="101"/>
        <v>#REF!</v>
      </c>
      <c r="V180" s="76" t="e">
        <f t="shared" si="101"/>
        <v>#REF!</v>
      </c>
      <c r="W180" s="76" t="e">
        <f t="shared" si="101"/>
        <v>#REF!</v>
      </c>
      <c r="X180" s="76" t="e">
        <f t="shared" si="101"/>
        <v>#REF!</v>
      </c>
      <c r="Z180" s="51" t="s">
        <v>127</v>
      </c>
      <c r="AA180" s="52"/>
      <c r="AB180" s="76" t="e">
        <f>AB181+AB182+AB183</f>
        <v>#REF!</v>
      </c>
      <c r="AC180" s="67">
        <f>AC181+AC182+AC183</f>
        <v>7.8060498220640575</v>
      </c>
    </row>
    <row r="181" spans="2:29" ht="15" customHeight="1" x14ac:dyDescent="0.25">
      <c r="B181" s="42" t="s">
        <v>301</v>
      </c>
      <c r="C181" s="46"/>
      <c r="D181" s="68">
        <f>82.5+AC181</f>
        <v>88.518683274021356</v>
      </c>
      <c r="E181" s="73" t="e">
        <f>(P181+Q181+R181+U181+V181)*$C$184</f>
        <v>#REF!</v>
      </c>
      <c r="F181" s="73" t="e">
        <f>E181</f>
        <v>#REF!</v>
      </c>
      <c r="G181" s="73">
        <v>0</v>
      </c>
      <c r="H181" s="73">
        <v>0</v>
      </c>
      <c r="I181" s="73">
        <v>0</v>
      </c>
      <c r="J181" s="73">
        <v>0</v>
      </c>
      <c r="K181" s="73">
        <f>R181</f>
        <v>0</v>
      </c>
      <c r="L181" s="73">
        <f>G181+H181+I181+J181+K181</f>
        <v>0</v>
      </c>
      <c r="M181" s="73">
        <v>0</v>
      </c>
      <c r="N181" s="73">
        <f>M181</f>
        <v>0</v>
      </c>
      <c r="O181" s="73" t="e">
        <f>F181+L181+N181</f>
        <v>#REF!</v>
      </c>
      <c r="P181" s="73">
        <v>0</v>
      </c>
      <c r="Q181" s="73" t="e">
        <f>12476.71+AB181</f>
        <v>#REF!</v>
      </c>
      <c r="R181" s="73">
        <v>0</v>
      </c>
      <c r="S181" s="73" t="e">
        <f>P181+Q181+R181</f>
        <v>#REF!</v>
      </c>
      <c r="T181" s="73" t="e">
        <f>O181-S181</f>
        <v>#REF!</v>
      </c>
      <c r="U181" s="73" t="e">
        <f>D181*$E$130</f>
        <v>#REF!</v>
      </c>
      <c r="V181" s="73" t="e">
        <f>$J$120/($D$184-$D$173)*D181</f>
        <v>#REF!</v>
      </c>
      <c r="W181" s="73" t="e">
        <f>U181+V181</f>
        <v>#REF!</v>
      </c>
      <c r="X181" s="73" t="e">
        <f>T181-W181</f>
        <v>#REF!</v>
      </c>
      <c r="Z181" s="42" t="s">
        <v>128</v>
      </c>
      <c r="AA181" s="46"/>
      <c r="AB181" s="73" t="e">
        <f>$AB$184/$D$184*D181</f>
        <v>#REF!</v>
      </c>
      <c r="AC181" s="68">
        <v>6.0186832740213525</v>
      </c>
    </row>
    <row r="182" spans="2:29" ht="15" customHeight="1" x14ac:dyDescent="0.25">
      <c r="B182" s="53" t="s">
        <v>129</v>
      </c>
      <c r="C182" s="54"/>
      <c r="D182" s="70">
        <f>6.25+AC182</f>
        <v>6.7059608540925266</v>
      </c>
      <c r="E182" s="77" t="e">
        <f>(P182+Q182+R182+U182+V182)*$C$184</f>
        <v>#REF!</v>
      </c>
      <c r="F182" s="77" t="e">
        <f>E182</f>
        <v>#REF!</v>
      </c>
      <c r="G182" s="77">
        <v>0</v>
      </c>
      <c r="H182" s="77">
        <v>0</v>
      </c>
      <c r="I182" s="77">
        <v>0</v>
      </c>
      <c r="J182" s="77">
        <v>0</v>
      </c>
      <c r="K182" s="77">
        <f>R182</f>
        <v>0</v>
      </c>
      <c r="L182" s="77">
        <f t="shared" ref="L182:L183" si="102">G182+H182+I182+J182+K182</f>
        <v>0</v>
      </c>
      <c r="M182" s="77">
        <v>0</v>
      </c>
      <c r="N182" s="77">
        <f>M182</f>
        <v>0</v>
      </c>
      <c r="O182" s="77" t="e">
        <f t="shared" ref="O182:O183" si="103">F182+L182+N182</f>
        <v>#REF!</v>
      </c>
      <c r="P182" s="77">
        <v>0</v>
      </c>
      <c r="Q182" s="77" t="e">
        <f>0+AB182</f>
        <v>#REF!</v>
      </c>
      <c r="R182" s="77">
        <v>0</v>
      </c>
      <c r="S182" s="77" t="e">
        <f>P182+Q182+R182</f>
        <v>#REF!</v>
      </c>
      <c r="T182" s="77" t="e">
        <f>O182-S182</f>
        <v>#REF!</v>
      </c>
      <c r="U182" s="77" t="e">
        <f>D182*$E$130</f>
        <v>#REF!</v>
      </c>
      <c r="V182" s="77" t="e">
        <f>$J$120/($D$184-$D$173)*D182</f>
        <v>#REF!</v>
      </c>
      <c r="W182" s="77" t="e">
        <f>U182+V182</f>
        <v>#REF!</v>
      </c>
      <c r="X182" s="77" t="e">
        <f t="shared" ref="X182:X183" si="104">T182-W182</f>
        <v>#REF!</v>
      </c>
      <c r="Z182" s="53" t="s">
        <v>129</v>
      </c>
      <c r="AA182" s="54"/>
      <c r="AB182" s="77" t="e">
        <f>$AB$184/$D$184*D182</f>
        <v>#REF!</v>
      </c>
      <c r="AC182" s="70">
        <v>0.45596085409252668</v>
      </c>
    </row>
    <row r="183" spans="2:29" ht="15" customHeight="1" x14ac:dyDescent="0.25">
      <c r="B183" s="42" t="s">
        <v>130</v>
      </c>
      <c r="C183" s="46"/>
      <c r="D183" s="68">
        <f>18.25+AC183</f>
        <v>19.581405693950177</v>
      </c>
      <c r="E183" s="73" t="e">
        <f>(P183+Q183+R183+U183+V183)*$C$184</f>
        <v>#REF!</v>
      </c>
      <c r="F183" s="73" t="e">
        <f>E183</f>
        <v>#REF!</v>
      </c>
      <c r="G183" s="73">
        <v>0</v>
      </c>
      <c r="H183" s="73">
        <v>0</v>
      </c>
      <c r="I183" s="73">
        <v>0</v>
      </c>
      <c r="J183" s="73">
        <v>0</v>
      </c>
      <c r="K183" s="73">
        <f>R183</f>
        <v>0</v>
      </c>
      <c r="L183" s="73">
        <f t="shared" si="102"/>
        <v>0</v>
      </c>
      <c r="M183" s="73">
        <v>0</v>
      </c>
      <c r="N183" s="73">
        <f>M183</f>
        <v>0</v>
      </c>
      <c r="O183" s="73" t="e">
        <f t="shared" si="103"/>
        <v>#REF!</v>
      </c>
      <c r="P183" s="73">
        <v>0</v>
      </c>
      <c r="Q183" s="73" t="e">
        <f>0+AB183</f>
        <v>#REF!</v>
      </c>
      <c r="R183" s="73">
        <v>0</v>
      </c>
      <c r="S183" s="73" t="e">
        <f>P183+Q183+R183</f>
        <v>#REF!</v>
      </c>
      <c r="T183" s="73" t="e">
        <f>O183-S183</f>
        <v>#REF!</v>
      </c>
      <c r="U183" s="73" t="e">
        <f>D183*$E$130</f>
        <v>#REF!</v>
      </c>
      <c r="V183" s="73" t="e">
        <f>$J$120/($D$184-$D$173)*D183</f>
        <v>#REF!</v>
      </c>
      <c r="W183" s="73" t="e">
        <f>U183+V183</f>
        <v>#REF!</v>
      </c>
      <c r="X183" s="73" t="e">
        <f t="shared" si="104"/>
        <v>#REF!</v>
      </c>
      <c r="Z183" s="42" t="s">
        <v>130</v>
      </c>
      <c r="AA183" s="46"/>
      <c r="AB183" s="73" t="e">
        <f>$AB$184/$D$184*D183</f>
        <v>#REF!</v>
      </c>
      <c r="AC183" s="68">
        <v>1.3314056939501779</v>
      </c>
    </row>
    <row r="184" spans="2:29" ht="15" customHeight="1" x14ac:dyDescent="0.25">
      <c r="B184" s="55" t="s">
        <v>131</v>
      </c>
      <c r="C184" s="98" t="e">
        <f>(#REF!-$K$208-$K$209-$K$210)/(#REF!-$K$208-$K$209-$K$210)</f>
        <v>#REF!</v>
      </c>
      <c r="D184" s="32">
        <f t="shared" ref="D184:M184" si="105">D172+D176+D180</f>
        <v>452.24999999999994</v>
      </c>
      <c r="E184" s="60" t="e">
        <f t="shared" ref="E184:L184" si="106">E172+E176+E180</f>
        <v>#REF!</v>
      </c>
      <c r="F184" s="60" t="e">
        <f t="shared" si="106"/>
        <v>#REF!</v>
      </c>
      <c r="G184" s="60">
        <f t="shared" si="106"/>
        <v>0</v>
      </c>
      <c r="H184" s="60">
        <f t="shared" si="106"/>
        <v>0</v>
      </c>
      <c r="I184" s="60" t="e">
        <f t="shared" si="106"/>
        <v>#REF!</v>
      </c>
      <c r="J184" s="60" t="e">
        <f t="shared" si="106"/>
        <v>#REF!</v>
      </c>
      <c r="K184" s="60">
        <f t="shared" si="106"/>
        <v>125000</v>
      </c>
      <c r="L184" s="60" t="e">
        <f t="shared" si="106"/>
        <v>#REF!</v>
      </c>
      <c r="M184" s="60" t="e">
        <f t="shared" si="105"/>
        <v>#REF!</v>
      </c>
      <c r="N184" s="60" t="e">
        <f t="shared" ref="N184:X184" si="107">N172+N176+N180</f>
        <v>#REF!</v>
      </c>
      <c r="O184" s="60" t="e">
        <f t="shared" si="107"/>
        <v>#REF!</v>
      </c>
      <c r="P184" s="60" t="e">
        <f t="shared" si="107"/>
        <v>#REF!</v>
      </c>
      <c r="Q184" s="60" t="e">
        <f t="shared" si="107"/>
        <v>#REF!</v>
      </c>
      <c r="R184" s="60">
        <f t="shared" si="107"/>
        <v>125000</v>
      </c>
      <c r="S184" s="60" t="e">
        <f t="shared" si="107"/>
        <v>#REF!</v>
      </c>
      <c r="T184" s="60" t="e">
        <f t="shared" si="107"/>
        <v>#REF!</v>
      </c>
      <c r="U184" s="60" t="e">
        <f t="shared" si="107"/>
        <v>#REF!</v>
      </c>
      <c r="V184" s="60" t="e">
        <f t="shared" si="107"/>
        <v>#REF!</v>
      </c>
      <c r="W184" s="60" t="e">
        <f t="shared" si="107"/>
        <v>#REF!</v>
      </c>
      <c r="X184" s="60" t="e">
        <f t="shared" si="107"/>
        <v>#REF!</v>
      </c>
      <c r="Z184" s="55" t="s">
        <v>131</v>
      </c>
      <c r="AA184" s="56"/>
      <c r="AB184" s="60" t="e">
        <f>#REF!+#REF!+#REF!+#REF!+#REF!+#REF!</f>
        <v>#REF!</v>
      </c>
      <c r="AC184" s="32">
        <f t="shared" ref="AC184" si="108">AC172+AC176+AC180</f>
        <v>30.750000000000004</v>
      </c>
    </row>
    <row r="186" spans="2:29" ht="15" customHeight="1" x14ac:dyDescent="0.25">
      <c r="E186" s="82" t="s">
        <v>29</v>
      </c>
      <c r="F186" s="82" t="s">
        <v>318</v>
      </c>
      <c r="G186" s="82" t="s">
        <v>30</v>
      </c>
      <c r="H186" s="82" t="s">
        <v>31</v>
      </c>
      <c r="I186" s="82" t="s">
        <v>32</v>
      </c>
      <c r="J186" s="82" t="s">
        <v>33</v>
      </c>
      <c r="K186" s="82" t="s">
        <v>34</v>
      </c>
      <c r="L186" s="82" t="s">
        <v>319</v>
      </c>
      <c r="M186" s="82" t="s">
        <v>35</v>
      </c>
      <c r="N186" s="82" t="s">
        <v>322</v>
      </c>
      <c r="O186" s="82" t="s">
        <v>154</v>
      </c>
      <c r="P186" s="83" t="s">
        <v>48</v>
      </c>
      <c r="Q186" s="83" t="s">
        <v>49</v>
      </c>
      <c r="R186" s="83" t="s">
        <v>149</v>
      </c>
      <c r="S186" s="83" t="s">
        <v>152</v>
      </c>
      <c r="T186" s="82" t="s">
        <v>150</v>
      </c>
      <c r="U186" s="83" t="s">
        <v>40</v>
      </c>
      <c r="V186" s="83" t="s">
        <v>41</v>
      </c>
      <c r="W186" s="83" t="s">
        <v>153</v>
      </c>
      <c r="X186" s="82" t="s">
        <v>151</v>
      </c>
    </row>
    <row r="187" spans="2:29" ht="15" customHeight="1" x14ac:dyDescent="0.25">
      <c r="B187" s="33" t="s">
        <v>137</v>
      </c>
      <c r="C187" s="34"/>
      <c r="D187" s="62" t="s">
        <v>138</v>
      </c>
      <c r="E187" s="78" t="s">
        <v>156</v>
      </c>
      <c r="F187" s="79" t="s">
        <v>317</v>
      </c>
      <c r="G187" s="78" t="s">
        <v>80</v>
      </c>
      <c r="H187" s="78" t="s">
        <v>44</v>
      </c>
      <c r="I187" s="78" t="s">
        <v>146</v>
      </c>
      <c r="J187" s="78" t="s">
        <v>155</v>
      </c>
      <c r="K187" s="78" t="s">
        <v>50</v>
      </c>
      <c r="L187" s="79" t="s">
        <v>320</v>
      </c>
      <c r="M187" s="78" t="s">
        <v>157</v>
      </c>
      <c r="N187" s="79" t="s">
        <v>317</v>
      </c>
      <c r="O187" s="79" t="s">
        <v>78</v>
      </c>
      <c r="P187" s="78" t="s">
        <v>43</v>
      </c>
      <c r="Q187" s="78" t="s">
        <v>145</v>
      </c>
      <c r="R187" s="78" t="s">
        <v>50</v>
      </c>
      <c r="S187" s="80" t="s">
        <v>312</v>
      </c>
      <c r="T187" s="79" t="s">
        <v>147</v>
      </c>
      <c r="U187" s="78" t="s">
        <v>54</v>
      </c>
      <c r="V187" s="78" t="s">
        <v>142</v>
      </c>
      <c r="W187" s="80" t="s">
        <v>313</v>
      </c>
      <c r="X187" s="79" t="s">
        <v>148</v>
      </c>
      <c r="Z187" s="33" t="s">
        <v>137</v>
      </c>
      <c r="AA187" s="34"/>
      <c r="AB187" s="78" t="s">
        <v>139</v>
      </c>
    </row>
    <row r="188" spans="2:29" ht="15" customHeight="1" x14ac:dyDescent="0.25">
      <c r="B188" s="49" t="s">
        <v>158</v>
      </c>
      <c r="C188" s="50"/>
      <c r="D188" s="66">
        <f t="shared" ref="D188:L188" si="109">D168</f>
        <v>764</v>
      </c>
      <c r="E188" s="75" t="e">
        <f t="shared" si="109"/>
        <v>#REF!</v>
      </c>
      <c r="F188" s="75" t="e">
        <f t="shared" si="109"/>
        <v>#REF!</v>
      </c>
      <c r="G188" s="75" t="e">
        <f t="shared" si="109"/>
        <v>#REF!</v>
      </c>
      <c r="H188" s="75" t="e">
        <f t="shared" si="109"/>
        <v>#REF!</v>
      </c>
      <c r="I188" s="75" t="e">
        <f t="shared" si="109"/>
        <v>#REF!</v>
      </c>
      <c r="J188" s="75">
        <f t="shared" si="109"/>
        <v>0</v>
      </c>
      <c r="K188" s="75">
        <f t="shared" si="109"/>
        <v>76650</v>
      </c>
      <c r="L188" s="75" t="e">
        <f t="shared" si="109"/>
        <v>#REF!</v>
      </c>
      <c r="M188" s="75">
        <f t="shared" ref="M188" si="110">M168</f>
        <v>0</v>
      </c>
      <c r="N188" s="75">
        <f t="shared" ref="N188:X188" si="111">N168</f>
        <v>0</v>
      </c>
      <c r="O188" s="75" t="e">
        <f t="shared" si="111"/>
        <v>#REF!</v>
      </c>
      <c r="P188" s="75" t="e">
        <f t="shared" si="111"/>
        <v>#REF!</v>
      </c>
      <c r="Q188" s="75" t="e">
        <f t="shared" si="111"/>
        <v>#REF!</v>
      </c>
      <c r="R188" s="75">
        <f t="shared" si="111"/>
        <v>76650</v>
      </c>
      <c r="S188" s="75" t="e">
        <f t="shared" si="111"/>
        <v>#REF!</v>
      </c>
      <c r="T188" s="75" t="e">
        <f t="shared" si="111"/>
        <v>#REF!</v>
      </c>
      <c r="U188" s="75" t="e">
        <f t="shared" si="111"/>
        <v>#REF!</v>
      </c>
      <c r="V188" s="75" t="e">
        <f t="shared" si="111"/>
        <v>#REF!</v>
      </c>
      <c r="W188" s="75" t="e">
        <f t="shared" si="111"/>
        <v>#REF!</v>
      </c>
      <c r="X188" s="75" t="e">
        <f t="shared" si="111"/>
        <v>#REF!</v>
      </c>
      <c r="Z188" s="49" t="s">
        <v>158</v>
      </c>
      <c r="AA188" s="49"/>
      <c r="AB188" s="75" t="e">
        <f>AB168</f>
        <v>#REF!</v>
      </c>
    </row>
    <row r="189" spans="2:29" ht="15" customHeight="1" x14ac:dyDescent="0.25">
      <c r="B189" s="55" t="s">
        <v>159</v>
      </c>
      <c r="C189" s="56"/>
      <c r="D189" s="32">
        <f t="shared" ref="D189:L189" si="112">D184</f>
        <v>452.24999999999994</v>
      </c>
      <c r="E189" s="60" t="e">
        <f t="shared" si="112"/>
        <v>#REF!</v>
      </c>
      <c r="F189" s="60" t="e">
        <f t="shared" si="112"/>
        <v>#REF!</v>
      </c>
      <c r="G189" s="60">
        <f t="shared" si="112"/>
        <v>0</v>
      </c>
      <c r="H189" s="60">
        <f t="shared" si="112"/>
        <v>0</v>
      </c>
      <c r="I189" s="60" t="e">
        <f t="shared" si="112"/>
        <v>#REF!</v>
      </c>
      <c r="J189" s="60" t="e">
        <f t="shared" si="112"/>
        <v>#REF!</v>
      </c>
      <c r="K189" s="60">
        <f t="shared" si="112"/>
        <v>125000</v>
      </c>
      <c r="L189" s="60" t="e">
        <f t="shared" si="112"/>
        <v>#REF!</v>
      </c>
      <c r="M189" s="60" t="e">
        <f t="shared" ref="M189" si="113">M184</f>
        <v>#REF!</v>
      </c>
      <c r="N189" s="60" t="e">
        <f t="shared" ref="N189:X189" si="114">N184</f>
        <v>#REF!</v>
      </c>
      <c r="O189" s="60" t="e">
        <f t="shared" si="114"/>
        <v>#REF!</v>
      </c>
      <c r="P189" s="60" t="e">
        <f t="shared" si="114"/>
        <v>#REF!</v>
      </c>
      <c r="Q189" s="60" t="e">
        <f t="shared" si="114"/>
        <v>#REF!</v>
      </c>
      <c r="R189" s="60">
        <f t="shared" si="114"/>
        <v>125000</v>
      </c>
      <c r="S189" s="60" t="e">
        <f t="shared" si="114"/>
        <v>#REF!</v>
      </c>
      <c r="T189" s="60" t="e">
        <f t="shared" si="114"/>
        <v>#REF!</v>
      </c>
      <c r="U189" s="60" t="e">
        <f t="shared" si="114"/>
        <v>#REF!</v>
      </c>
      <c r="V189" s="60" t="e">
        <f t="shared" si="114"/>
        <v>#REF!</v>
      </c>
      <c r="W189" s="60" t="e">
        <f t="shared" si="114"/>
        <v>#REF!</v>
      </c>
      <c r="X189" s="60" t="e">
        <f t="shared" si="114"/>
        <v>#REF!</v>
      </c>
      <c r="Z189" s="55" t="s">
        <v>159</v>
      </c>
      <c r="AA189" s="55"/>
      <c r="AB189" s="60" t="e">
        <f>AB184</f>
        <v>#REF!</v>
      </c>
    </row>
    <row r="190" spans="2:29" ht="15" customHeight="1" x14ac:dyDescent="0.25">
      <c r="B190" s="33" t="s">
        <v>132</v>
      </c>
      <c r="C190" s="34"/>
      <c r="D190" s="29">
        <f t="shared" ref="D190:M190" si="115">D188+D189</f>
        <v>1216.25</v>
      </c>
      <c r="E190" s="61" t="e">
        <f t="shared" ref="E190:L190" si="116">E188+E189</f>
        <v>#REF!</v>
      </c>
      <c r="F190" s="61" t="e">
        <f t="shared" si="116"/>
        <v>#REF!</v>
      </c>
      <c r="G190" s="61" t="e">
        <f t="shared" si="116"/>
        <v>#REF!</v>
      </c>
      <c r="H190" s="61" t="e">
        <f t="shared" si="116"/>
        <v>#REF!</v>
      </c>
      <c r="I190" s="61" t="e">
        <f t="shared" si="116"/>
        <v>#REF!</v>
      </c>
      <c r="J190" s="61" t="e">
        <f t="shared" si="116"/>
        <v>#REF!</v>
      </c>
      <c r="K190" s="61">
        <f t="shared" si="116"/>
        <v>201650</v>
      </c>
      <c r="L190" s="61" t="e">
        <f t="shared" si="116"/>
        <v>#REF!</v>
      </c>
      <c r="M190" s="61" t="e">
        <f t="shared" si="115"/>
        <v>#REF!</v>
      </c>
      <c r="N190" s="61" t="e">
        <f t="shared" ref="N190:X190" si="117">N188+N189</f>
        <v>#REF!</v>
      </c>
      <c r="O190" s="61" t="e">
        <f t="shared" si="117"/>
        <v>#REF!</v>
      </c>
      <c r="P190" s="61" t="e">
        <f t="shared" si="117"/>
        <v>#REF!</v>
      </c>
      <c r="Q190" s="61" t="e">
        <f t="shared" si="117"/>
        <v>#REF!</v>
      </c>
      <c r="R190" s="61">
        <f t="shared" si="117"/>
        <v>201650</v>
      </c>
      <c r="S190" s="61" t="e">
        <f t="shared" si="117"/>
        <v>#REF!</v>
      </c>
      <c r="T190" s="61" t="e">
        <f t="shared" si="117"/>
        <v>#REF!</v>
      </c>
      <c r="U190" s="61" t="e">
        <f t="shared" si="117"/>
        <v>#REF!</v>
      </c>
      <c r="V190" s="61" t="e">
        <f t="shared" si="117"/>
        <v>#REF!</v>
      </c>
      <c r="W190" s="61" t="e">
        <f t="shared" si="117"/>
        <v>#REF!</v>
      </c>
      <c r="X190" s="61" t="e">
        <f t="shared" si="117"/>
        <v>#REF!</v>
      </c>
      <c r="Z190" s="33" t="s">
        <v>132</v>
      </c>
      <c r="AA190" s="34"/>
      <c r="AB190" s="61" t="e">
        <f>AB188+AB189</f>
        <v>#REF!</v>
      </c>
    </row>
    <row r="193" spans="1:24" ht="15" customHeight="1" x14ac:dyDescent="0.25">
      <c r="A193" s="202" t="s">
        <v>370</v>
      </c>
      <c r="B193" s="364" t="s">
        <v>371</v>
      </c>
      <c r="C193" s="364"/>
      <c r="D193" s="364"/>
      <c r="E193" s="364"/>
      <c r="F193" s="364"/>
      <c r="G193" s="364"/>
      <c r="H193" s="364"/>
      <c r="I193" s="364"/>
      <c r="J193" s="364"/>
      <c r="K193" s="364"/>
      <c r="L193" s="364"/>
      <c r="M193" s="364"/>
      <c r="N193" s="364"/>
      <c r="O193" s="364"/>
      <c r="P193" s="364"/>
      <c r="Q193" s="364"/>
      <c r="R193" s="364"/>
      <c r="S193" s="364"/>
      <c r="T193" s="364"/>
      <c r="U193" s="364"/>
      <c r="V193" s="364"/>
      <c r="W193" s="364"/>
      <c r="X193" s="364"/>
    </row>
    <row r="194" spans="1:24" ht="15" customHeight="1" x14ac:dyDescent="0.25">
      <c r="B194" s="7"/>
    </row>
    <row r="195" spans="1:24" ht="15" customHeight="1" x14ac:dyDescent="0.25">
      <c r="A195" s="202" t="s">
        <v>357</v>
      </c>
      <c r="B195" s="122" t="s">
        <v>8</v>
      </c>
      <c r="C195" s="156" t="s">
        <v>37</v>
      </c>
      <c r="D195" s="156" t="s">
        <v>38</v>
      </c>
      <c r="E195" s="156" t="s">
        <v>345</v>
      </c>
      <c r="F195" s="156" t="s">
        <v>20</v>
      </c>
      <c r="G195" s="156" t="s">
        <v>346</v>
      </c>
      <c r="H195" s="156" t="s">
        <v>347</v>
      </c>
      <c r="I195" s="202" t="s">
        <v>357</v>
      </c>
      <c r="J195" s="157" t="str">
        <f>B195</f>
        <v>Etudes</v>
      </c>
      <c r="K195" s="158" t="s">
        <v>37</v>
      </c>
      <c r="L195" s="158" t="s">
        <v>38</v>
      </c>
      <c r="M195" s="158" t="s">
        <v>345</v>
      </c>
      <c r="N195" s="158" t="s">
        <v>20</v>
      </c>
      <c r="O195" s="158" t="s">
        <v>346</v>
      </c>
      <c r="P195" s="158" t="s">
        <v>347</v>
      </c>
      <c r="Q195" s="202" t="s">
        <v>357</v>
      </c>
      <c r="R195" s="157" t="str">
        <f>B195</f>
        <v>Etudes</v>
      </c>
      <c r="S195" s="158" t="s">
        <v>37</v>
      </c>
      <c r="T195" s="158" t="s">
        <v>38</v>
      </c>
      <c r="U195" s="158" t="s">
        <v>345</v>
      </c>
      <c r="V195" s="158" t="s">
        <v>20</v>
      </c>
      <c r="W195" s="158" t="s">
        <v>346</v>
      </c>
      <c r="X195" s="158" t="s">
        <v>347</v>
      </c>
    </row>
    <row r="196" spans="1:24" ht="15" customHeight="1" x14ac:dyDescent="0.25">
      <c r="A196" s="203"/>
      <c r="B196" s="111" t="s">
        <v>62</v>
      </c>
      <c r="C196" s="150" t="s">
        <v>160</v>
      </c>
      <c r="D196" s="151" t="s">
        <v>161</v>
      </c>
      <c r="E196" s="149" t="s">
        <v>156</v>
      </c>
      <c r="F196" s="149" t="s">
        <v>303</v>
      </c>
      <c r="G196" s="152" t="s">
        <v>78</v>
      </c>
      <c r="H196" s="152" t="s">
        <v>148</v>
      </c>
      <c r="I196" s="203"/>
      <c r="J196" s="111" t="s">
        <v>63</v>
      </c>
      <c r="K196" s="150" t="s">
        <v>160</v>
      </c>
      <c r="L196" s="151" t="s">
        <v>161</v>
      </c>
      <c r="M196" s="149" t="s">
        <v>156</v>
      </c>
      <c r="N196" s="149" t="s">
        <v>303</v>
      </c>
      <c r="O196" s="152" t="s">
        <v>78</v>
      </c>
      <c r="P196" s="152" t="s">
        <v>148</v>
      </c>
      <c r="Q196" s="203"/>
      <c r="R196" s="111" t="s">
        <v>7</v>
      </c>
      <c r="S196" s="150" t="s">
        <v>160</v>
      </c>
      <c r="T196" s="151" t="s">
        <v>161</v>
      </c>
      <c r="U196" s="149" t="s">
        <v>156</v>
      </c>
      <c r="V196" s="149" t="s">
        <v>303</v>
      </c>
      <c r="W196" s="152" t="s">
        <v>78</v>
      </c>
      <c r="X196" s="152" t="s">
        <v>148</v>
      </c>
    </row>
    <row r="197" spans="1:24" ht="15" customHeight="1" x14ac:dyDescent="0.25">
      <c r="A197" s="203"/>
      <c r="B197" s="135" t="s">
        <v>202</v>
      </c>
      <c r="C197" s="116" t="e">
        <f>P134</f>
        <v>#REF!</v>
      </c>
      <c r="D197" s="153" t="e">
        <f>#REF!/#REF!</f>
        <v>#REF!</v>
      </c>
      <c r="E197" s="116" t="e">
        <f>C197*D197</f>
        <v>#REF!</v>
      </c>
      <c r="F197" s="116" t="e">
        <f>I134</f>
        <v>#REF!</v>
      </c>
      <c r="G197" s="116" t="e">
        <f>E197+F197</f>
        <v>#REF!</v>
      </c>
      <c r="H197" s="116" t="e">
        <f>G197-C197</f>
        <v>#REF!</v>
      </c>
      <c r="I197" s="203"/>
      <c r="J197" s="135" t="s">
        <v>202</v>
      </c>
      <c r="K197" s="116" t="e">
        <f>P175</f>
        <v>#REF!</v>
      </c>
      <c r="L197" s="153" t="e">
        <f>(#REF!-$K$208-$K$209-$K$210)/(#REF!-$K$208-$K$209-$K$210)</f>
        <v>#REF!</v>
      </c>
      <c r="M197" s="116" t="e">
        <f>K197*L197</f>
        <v>#REF!</v>
      </c>
      <c r="N197" s="116" t="e">
        <f>I175</f>
        <v>#REF!</v>
      </c>
      <c r="O197" s="116" t="e">
        <f>M197+N197</f>
        <v>#REF!</v>
      </c>
      <c r="P197" s="116" t="e">
        <f>O197-K197</f>
        <v>#REF!</v>
      </c>
      <c r="Q197" s="203"/>
      <c r="R197" s="135" t="s">
        <v>202</v>
      </c>
      <c r="S197" s="116" t="e">
        <f>C197+K197</f>
        <v>#REF!</v>
      </c>
      <c r="T197" s="153" t="e">
        <f>IF(S197=0,0,U197/S197)</f>
        <v>#REF!</v>
      </c>
      <c r="U197" s="116" t="e">
        <f>E197+M197</f>
        <v>#REF!</v>
      </c>
      <c r="V197" s="116" t="e">
        <f t="shared" ref="V197:V202" si="118">F197+N197</f>
        <v>#REF!</v>
      </c>
      <c r="W197" s="116" t="e">
        <f>U197+V197</f>
        <v>#REF!</v>
      </c>
      <c r="X197" s="116" t="e">
        <f>W197-S197</f>
        <v>#REF!</v>
      </c>
    </row>
    <row r="198" spans="1:24" ht="15" customHeight="1" x14ac:dyDescent="0.25">
      <c r="A198" s="203"/>
      <c r="B198" s="154" t="s">
        <v>145</v>
      </c>
      <c r="C198" s="116" t="e">
        <f>Q134</f>
        <v>#REF!</v>
      </c>
      <c r="D198" s="153" t="e">
        <f>#REF!/#REF!</f>
        <v>#REF!</v>
      </c>
      <c r="E198" s="116" t="e">
        <f t="shared" ref="E198:E202" si="119">C198*D198</f>
        <v>#REF!</v>
      </c>
      <c r="F198" s="116" t="e">
        <f>(G134+H134+M134)/(C198+C200+C201)*C198</f>
        <v>#REF!</v>
      </c>
      <c r="G198" s="116" t="e">
        <f t="shared" ref="G198:G202" si="120">E198+F198</f>
        <v>#REF!</v>
      </c>
      <c r="H198" s="116" t="e">
        <f t="shared" ref="H198:H202" si="121">G198-C198</f>
        <v>#REF!</v>
      </c>
      <c r="I198" s="203"/>
      <c r="J198" s="154" t="s">
        <v>145</v>
      </c>
      <c r="K198" s="116" t="e">
        <f>Q175</f>
        <v>#REF!</v>
      </c>
      <c r="L198" s="153" t="e">
        <f>(#REF!-$K$208-$K$209-$K$210)/(#REF!-$K$208-$K$209-$K$210)</f>
        <v>#REF!</v>
      </c>
      <c r="M198" s="116" t="e">
        <f t="shared" ref="M198:M201" si="122">K198*L198</f>
        <v>#REF!</v>
      </c>
      <c r="N198" s="116" t="e">
        <f>(G175+H175+M175)/(K198+K200+K201)*K198</f>
        <v>#REF!</v>
      </c>
      <c r="O198" s="116" t="e">
        <f t="shared" ref="O198:O202" si="123">M198+N198</f>
        <v>#REF!</v>
      </c>
      <c r="P198" s="116" t="e">
        <f t="shared" ref="P198:P202" si="124">O198-K198</f>
        <v>#REF!</v>
      </c>
      <c r="Q198" s="203"/>
      <c r="R198" s="154" t="s">
        <v>145</v>
      </c>
      <c r="S198" s="116" t="e">
        <f t="shared" ref="S198:S202" si="125">C198+K198</f>
        <v>#REF!</v>
      </c>
      <c r="T198" s="153" t="e">
        <f>IF(S198=0,0,U198/S198)</f>
        <v>#REF!</v>
      </c>
      <c r="U198" s="116" t="e">
        <f t="shared" ref="U198:U202" si="126">E198+M198</f>
        <v>#REF!</v>
      </c>
      <c r="V198" s="116" t="e">
        <f t="shared" si="118"/>
        <v>#REF!</v>
      </c>
      <c r="W198" s="116" t="e">
        <f t="shared" ref="W198:W202" si="127">U198+V198</f>
        <v>#REF!</v>
      </c>
      <c r="X198" s="116" t="e">
        <f t="shared" ref="X198:X202" si="128">W198-S198</f>
        <v>#REF!</v>
      </c>
    </row>
    <row r="199" spans="1:24" ht="15" customHeight="1" x14ac:dyDescent="0.25">
      <c r="A199" s="203"/>
      <c r="B199" s="134" t="s">
        <v>50</v>
      </c>
      <c r="C199" s="116">
        <f>R134</f>
        <v>56775</v>
      </c>
      <c r="D199" s="153" t="e">
        <f>#REF!/#REF!</f>
        <v>#REF!</v>
      </c>
      <c r="E199" s="116" t="e">
        <f t="shared" si="119"/>
        <v>#REF!</v>
      </c>
      <c r="F199" s="116">
        <f>K134</f>
        <v>56775</v>
      </c>
      <c r="G199" s="116" t="e">
        <f t="shared" si="120"/>
        <v>#REF!</v>
      </c>
      <c r="H199" s="116" t="e">
        <f t="shared" si="121"/>
        <v>#REF!</v>
      </c>
      <c r="I199" s="203"/>
      <c r="J199" s="134" t="s">
        <v>50</v>
      </c>
      <c r="K199" s="116">
        <f>R175</f>
        <v>0</v>
      </c>
      <c r="L199" s="153" t="e">
        <f>(#REF!-$K$208-$K$209-$K$210)/(#REF!-$K$208-$K$209-$K$210)</f>
        <v>#REF!</v>
      </c>
      <c r="M199" s="116" t="e">
        <f t="shared" si="122"/>
        <v>#REF!</v>
      </c>
      <c r="N199" s="116">
        <f>K175</f>
        <v>0</v>
      </c>
      <c r="O199" s="116" t="e">
        <f t="shared" si="123"/>
        <v>#REF!</v>
      </c>
      <c r="P199" s="116" t="e">
        <f t="shared" si="124"/>
        <v>#REF!</v>
      </c>
      <c r="Q199" s="203"/>
      <c r="R199" s="134" t="s">
        <v>50</v>
      </c>
      <c r="S199" s="116">
        <f t="shared" si="125"/>
        <v>56775</v>
      </c>
      <c r="T199" s="153" t="e">
        <f t="shared" ref="T199:T203" si="129">IF(S199=0,0,U199/S199)</f>
        <v>#REF!</v>
      </c>
      <c r="U199" s="116" t="e">
        <f t="shared" si="126"/>
        <v>#REF!</v>
      </c>
      <c r="V199" s="116">
        <f t="shared" si="118"/>
        <v>56775</v>
      </c>
      <c r="W199" s="116" t="e">
        <f t="shared" si="127"/>
        <v>#REF!</v>
      </c>
      <c r="X199" s="116" t="e">
        <f t="shared" si="128"/>
        <v>#REF!</v>
      </c>
    </row>
    <row r="200" spans="1:24" ht="15" customHeight="1" x14ac:dyDescent="0.25">
      <c r="A200" s="203"/>
      <c r="B200" s="154" t="s">
        <v>54</v>
      </c>
      <c r="C200" s="116" t="e">
        <f>U134</f>
        <v>#REF!</v>
      </c>
      <c r="D200" s="153" t="e">
        <f>#REF!/#REF!</f>
        <v>#REF!</v>
      </c>
      <c r="E200" s="116" t="e">
        <f t="shared" si="119"/>
        <v>#REF!</v>
      </c>
      <c r="F200" s="116" t="e">
        <f>(G134+H134+M134)/(C198+C200+C201)*C200</f>
        <v>#REF!</v>
      </c>
      <c r="G200" s="116" t="e">
        <f t="shared" si="120"/>
        <v>#REF!</v>
      </c>
      <c r="H200" s="116" t="e">
        <f t="shared" si="121"/>
        <v>#REF!</v>
      </c>
      <c r="I200" s="203"/>
      <c r="J200" s="154" t="s">
        <v>54</v>
      </c>
      <c r="K200" s="116" t="e">
        <f>U175</f>
        <v>#REF!</v>
      </c>
      <c r="L200" s="153" t="e">
        <f>(#REF!-$K$208-$K$209-$K$210)/(#REF!-$K$208-$K$209-$K$210)</f>
        <v>#REF!</v>
      </c>
      <c r="M200" s="116" t="e">
        <f t="shared" si="122"/>
        <v>#REF!</v>
      </c>
      <c r="N200" s="116" t="e">
        <f>(G175+H175+M175)/(K198+K200+K201)*K200</f>
        <v>#REF!</v>
      </c>
      <c r="O200" s="116" t="e">
        <f t="shared" si="123"/>
        <v>#REF!</v>
      </c>
      <c r="P200" s="116" t="e">
        <f t="shared" si="124"/>
        <v>#REF!</v>
      </c>
      <c r="Q200" s="203"/>
      <c r="R200" s="154" t="s">
        <v>54</v>
      </c>
      <c r="S200" s="116" t="e">
        <f t="shared" si="125"/>
        <v>#REF!</v>
      </c>
      <c r="T200" s="153" t="e">
        <f t="shared" si="129"/>
        <v>#REF!</v>
      </c>
      <c r="U200" s="116" t="e">
        <f t="shared" si="126"/>
        <v>#REF!</v>
      </c>
      <c r="V200" s="116" t="e">
        <f t="shared" si="118"/>
        <v>#REF!</v>
      </c>
      <c r="W200" s="116" t="e">
        <f t="shared" si="127"/>
        <v>#REF!</v>
      </c>
      <c r="X200" s="116" t="e">
        <f t="shared" si="128"/>
        <v>#REF!</v>
      </c>
    </row>
    <row r="201" spans="1:24" ht="15" customHeight="1" x14ac:dyDescent="0.25">
      <c r="A201" s="203"/>
      <c r="B201" s="154" t="s">
        <v>142</v>
      </c>
      <c r="C201" s="116" t="e">
        <f>V134</f>
        <v>#REF!</v>
      </c>
      <c r="D201" s="153" t="e">
        <f>#REF!/#REF!</f>
        <v>#REF!</v>
      </c>
      <c r="E201" s="116" t="e">
        <f t="shared" si="119"/>
        <v>#REF!</v>
      </c>
      <c r="F201" s="116" t="e">
        <f>(G134+H134+M134)/(C198+C200+C201)*C201</f>
        <v>#REF!</v>
      </c>
      <c r="G201" s="116" t="e">
        <f t="shared" si="120"/>
        <v>#REF!</v>
      </c>
      <c r="H201" s="116" t="e">
        <f t="shared" si="121"/>
        <v>#REF!</v>
      </c>
      <c r="I201" s="203"/>
      <c r="J201" s="154" t="s">
        <v>142</v>
      </c>
      <c r="K201" s="116" t="e">
        <f>V175</f>
        <v>#REF!</v>
      </c>
      <c r="L201" s="153" t="e">
        <f>(#REF!-$K$208-$K$209-$K$210)/(#REF!-$K$208-$K$209-$K$210)</f>
        <v>#REF!</v>
      </c>
      <c r="M201" s="116" t="e">
        <f t="shared" si="122"/>
        <v>#REF!</v>
      </c>
      <c r="N201" s="116" t="e">
        <f>(G175+H175+M175)/(K198+K200+K201)*K201</f>
        <v>#REF!</v>
      </c>
      <c r="O201" s="116" t="e">
        <f t="shared" si="123"/>
        <v>#REF!</v>
      </c>
      <c r="P201" s="116" t="e">
        <f t="shared" si="124"/>
        <v>#REF!</v>
      </c>
      <c r="Q201" s="203"/>
      <c r="R201" s="154" t="s">
        <v>142</v>
      </c>
      <c r="S201" s="116" t="e">
        <f t="shared" si="125"/>
        <v>#REF!</v>
      </c>
      <c r="T201" s="153" t="e">
        <f t="shared" si="129"/>
        <v>#REF!</v>
      </c>
      <c r="U201" s="116" t="e">
        <f t="shared" si="126"/>
        <v>#REF!</v>
      </c>
      <c r="V201" s="116" t="e">
        <f t="shared" si="118"/>
        <v>#REF!</v>
      </c>
      <c r="W201" s="116" t="e">
        <f t="shared" si="127"/>
        <v>#REF!</v>
      </c>
      <c r="X201" s="116" t="e">
        <f t="shared" si="128"/>
        <v>#REF!</v>
      </c>
    </row>
    <row r="202" spans="1:24" ht="15" customHeight="1" x14ac:dyDescent="0.25">
      <c r="A202" s="203"/>
      <c r="B202" s="134" t="s">
        <v>155</v>
      </c>
      <c r="C202" s="116">
        <v>0</v>
      </c>
      <c r="D202" s="153" t="e">
        <f>#REF!/#REF!</f>
        <v>#REF!</v>
      </c>
      <c r="E202" s="116" t="e">
        <f t="shared" si="119"/>
        <v>#REF!</v>
      </c>
      <c r="F202" s="116">
        <v>49000</v>
      </c>
      <c r="G202" s="116" t="e">
        <f t="shared" si="120"/>
        <v>#REF!</v>
      </c>
      <c r="H202" s="116" t="e">
        <f t="shared" si="121"/>
        <v>#REF!</v>
      </c>
      <c r="I202" s="203"/>
      <c r="J202" s="134" t="s">
        <v>155</v>
      </c>
      <c r="K202" s="116">
        <v>0</v>
      </c>
      <c r="L202" s="153" t="e">
        <f>(#REF!-$K$208-$K$209-$K$210)/(#REF!-$K$208-$K$209-$K$210)</f>
        <v>#REF!</v>
      </c>
      <c r="M202" s="116" t="e">
        <f>K202*L202</f>
        <v>#REF!</v>
      </c>
      <c r="N202" s="116">
        <v>10500</v>
      </c>
      <c r="O202" s="116" t="e">
        <f t="shared" si="123"/>
        <v>#REF!</v>
      </c>
      <c r="P202" s="116" t="e">
        <f t="shared" si="124"/>
        <v>#REF!</v>
      </c>
      <c r="Q202" s="203"/>
      <c r="R202" s="134" t="s">
        <v>155</v>
      </c>
      <c r="S202" s="116">
        <f t="shared" si="125"/>
        <v>0</v>
      </c>
      <c r="T202" s="153">
        <f t="shared" si="129"/>
        <v>0</v>
      </c>
      <c r="U202" s="116" t="e">
        <f t="shared" si="126"/>
        <v>#REF!</v>
      </c>
      <c r="V202" s="116">
        <f t="shared" si="118"/>
        <v>59500</v>
      </c>
      <c r="W202" s="116" t="e">
        <f t="shared" si="127"/>
        <v>#REF!</v>
      </c>
      <c r="X202" s="116" t="e">
        <f t="shared" si="128"/>
        <v>#REF!</v>
      </c>
    </row>
    <row r="203" spans="1:24" ht="15" customHeight="1" x14ac:dyDescent="0.25">
      <c r="A203" s="203"/>
      <c r="B203" s="111" t="s">
        <v>163</v>
      </c>
      <c r="C203" s="125" t="e">
        <f>SUM(C197:C202)</f>
        <v>#REF!</v>
      </c>
      <c r="D203" s="155" t="e">
        <f t="shared" ref="D203" si="130">IF(C203=0,0,E203/C203)</f>
        <v>#REF!</v>
      </c>
      <c r="E203" s="125" t="e">
        <f>SUM(E197:E202)</f>
        <v>#REF!</v>
      </c>
      <c r="F203" s="125" t="e">
        <f>SUM(F197:F202)</f>
        <v>#REF!</v>
      </c>
      <c r="G203" s="125" t="e">
        <f>SUM(G197:G202)</f>
        <v>#REF!</v>
      </c>
      <c r="H203" s="125" t="e">
        <f>SUM(H197:H202)</f>
        <v>#REF!</v>
      </c>
      <c r="I203" s="203"/>
      <c r="J203" s="111" t="s">
        <v>163</v>
      </c>
      <c r="K203" s="125" t="e">
        <f>SUM(K197:K202)</f>
        <v>#REF!</v>
      </c>
      <c r="L203" s="155" t="e">
        <f t="shared" ref="L203" si="131">IF(K203=0,0,M203/K203)</f>
        <v>#REF!</v>
      </c>
      <c r="M203" s="125" t="e">
        <f>SUM(M197:M202)</f>
        <v>#REF!</v>
      </c>
      <c r="N203" s="125" t="e">
        <f>SUM(N197:N202)</f>
        <v>#REF!</v>
      </c>
      <c r="O203" s="125" t="e">
        <f>SUM(O197:O202)</f>
        <v>#REF!</v>
      </c>
      <c r="P203" s="125" t="e">
        <f>SUM(P197:P202)</f>
        <v>#REF!</v>
      </c>
      <c r="Q203" s="203"/>
      <c r="R203" s="111" t="s">
        <v>163</v>
      </c>
      <c r="S203" s="125" t="e">
        <f>SUM(S197:S202)</f>
        <v>#REF!</v>
      </c>
      <c r="T203" s="155" t="e">
        <f t="shared" si="129"/>
        <v>#REF!</v>
      </c>
      <c r="U203" s="125" t="e">
        <f>SUM(U197:U202)</f>
        <v>#REF!</v>
      </c>
      <c r="V203" s="125" t="e">
        <f>SUM(V197:V202)</f>
        <v>#REF!</v>
      </c>
      <c r="W203" s="125" t="e">
        <f>SUM(W197:W202)</f>
        <v>#REF!</v>
      </c>
      <c r="X203" s="125" t="e">
        <f>SUM(X197:X202)</f>
        <v>#REF!</v>
      </c>
    </row>
    <row r="204" spans="1:24" ht="15" customHeight="1" x14ac:dyDescent="0.25">
      <c r="A204" s="203"/>
      <c r="B204" s="362" t="s">
        <v>292</v>
      </c>
      <c r="C204" s="362"/>
      <c r="D204" s="362"/>
      <c r="E204" s="362"/>
      <c r="F204" s="362"/>
      <c r="G204" s="362"/>
      <c r="H204" s="362"/>
      <c r="I204" s="203"/>
      <c r="J204" s="361" t="s">
        <v>297</v>
      </c>
      <c r="K204" s="361"/>
      <c r="L204" s="361"/>
      <c r="M204" s="361"/>
      <c r="N204" s="361"/>
      <c r="O204" s="361"/>
      <c r="P204" s="361"/>
      <c r="Q204" s="203"/>
      <c r="R204" s="363" t="s">
        <v>310</v>
      </c>
      <c r="S204" s="363"/>
      <c r="T204" s="363"/>
      <c r="U204" s="363"/>
      <c r="V204" s="363"/>
      <c r="W204" s="363"/>
      <c r="X204" s="363"/>
    </row>
    <row r="205" spans="1:24" ht="15" customHeight="1" x14ac:dyDescent="0.25">
      <c r="A205" s="203"/>
      <c r="I205" s="203"/>
      <c r="Q205" s="203"/>
    </row>
    <row r="206" spans="1:24" ht="15" customHeight="1" x14ac:dyDescent="0.25">
      <c r="A206" s="202" t="s">
        <v>358</v>
      </c>
      <c r="B206" s="157" t="s">
        <v>348</v>
      </c>
      <c r="C206" s="158" t="s">
        <v>37</v>
      </c>
      <c r="D206" s="158" t="s">
        <v>38</v>
      </c>
      <c r="E206" s="158" t="s">
        <v>345</v>
      </c>
      <c r="F206" s="158" t="s">
        <v>20</v>
      </c>
      <c r="G206" s="158" t="s">
        <v>346</v>
      </c>
      <c r="H206" s="158" t="s">
        <v>347</v>
      </c>
      <c r="I206" s="202" t="s">
        <v>358</v>
      </c>
      <c r="J206" s="157" t="str">
        <f>B206</f>
        <v>Fisong</v>
      </c>
      <c r="K206" s="158" t="s">
        <v>37</v>
      </c>
      <c r="L206" s="158" t="s">
        <v>38</v>
      </c>
      <c r="M206" s="158" t="s">
        <v>345</v>
      </c>
      <c r="N206" s="158" t="s">
        <v>20</v>
      </c>
      <c r="O206" s="158" t="s">
        <v>346</v>
      </c>
      <c r="P206" s="158" t="s">
        <v>347</v>
      </c>
      <c r="Q206" s="202" t="s">
        <v>358</v>
      </c>
      <c r="R206" s="157" t="str">
        <f>B206</f>
        <v>Fisong</v>
      </c>
      <c r="S206" s="158" t="s">
        <v>37</v>
      </c>
      <c r="T206" s="158" t="s">
        <v>38</v>
      </c>
      <c r="U206" s="158" t="s">
        <v>345</v>
      </c>
      <c r="V206" s="158" t="s">
        <v>20</v>
      </c>
      <c r="W206" s="158" t="s">
        <v>346</v>
      </c>
      <c r="X206" s="158" t="s">
        <v>347</v>
      </c>
    </row>
    <row r="207" spans="1:24" ht="15" customHeight="1" x14ac:dyDescent="0.25">
      <c r="A207" s="203"/>
      <c r="B207" s="159"/>
      <c r="C207" s="160"/>
      <c r="D207" s="161"/>
      <c r="E207" s="162"/>
      <c r="F207" s="162"/>
      <c r="G207" s="163"/>
      <c r="H207" s="163"/>
      <c r="I207" s="203"/>
      <c r="J207" s="111" t="s">
        <v>63</v>
      </c>
      <c r="K207" s="150" t="s">
        <v>160</v>
      </c>
      <c r="L207" s="151" t="s">
        <v>161</v>
      </c>
      <c r="M207" s="149" t="s">
        <v>156</v>
      </c>
      <c r="N207" s="149" t="s">
        <v>303</v>
      </c>
      <c r="O207" s="152" t="s">
        <v>78</v>
      </c>
      <c r="P207" s="152" t="s">
        <v>148</v>
      </c>
      <c r="Q207" s="203"/>
      <c r="R207" s="111" t="s">
        <v>7</v>
      </c>
      <c r="S207" s="150" t="s">
        <v>160</v>
      </c>
      <c r="T207" s="151" t="s">
        <v>161</v>
      </c>
      <c r="U207" s="149" t="s">
        <v>156</v>
      </c>
      <c r="V207" s="149" t="s">
        <v>303</v>
      </c>
      <c r="W207" s="152" t="s">
        <v>78</v>
      </c>
      <c r="X207" s="152" t="s">
        <v>148</v>
      </c>
    </row>
    <row r="208" spans="1:24" ht="15" customHeight="1" x14ac:dyDescent="0.25">
      <c r="A208" s="203"/>
      <c r="B208" s="164"/>
      <c r="C208" s="165"/>
      <c r="D208" s="166"/>
      <c r="E208" s="165"/>
      <c r="F208" s="165"/>
      <c r="G208" s="165"/>
      <c r="H208" s="165"/>
      <c r="I208" s="203"/>
      <c r="J208" s="154" t="s">
        <v>145</v>
      </c>
      <c r="K208" s="116" t="e">
        <f>Q173</f>
        <v>#REF!</v>
      </c>
      <c r="L208" s="153" t="e">
        <f>K208/K208</f>
        <v>#REF!</v>
      </c>
      <c r="M208" s="116" t="e">
        <f t="shared" ref="M208:M211" si="132">K208*L208</f>
        <v>#REF!</v>
      </c>
      <c r="N208" s="116" t="e">
        <f>(G173+H173+I173+M173)/(K208+K210+K211)*K208</f>
        <v>#REF!</v>
      </c>
      <c r="O208" s="116" t="e">
        <f t="shared" ref="O208:O211" si="133">M208+N208</f>
        <v>#REF!</v>
      </c>
      <c r="P208" s="116" t="e">
        <f t="shared" ref="P208:P211" si="134">O208-K208</f>
        <v>#REF!</v>
      </c>
      <c r="Q208" s="203"/>
      <c r="R208" s="154" t="s">
        <v>145</v>
      </c>
      <c r="S208" s="116" t="e">
        <f t="shared" ref="S208:S211" si="135">C208+K208</f>
        <v>#REF!</v>
      </c>
      <c r="T208" s="153" t="e">
        <f>IF(S208=0,0,U208/S208)</f>
        <v>#REF!</v>
      </c>
      <c r="U208" s="116" t="e">
        <f t="shared" ref="U208:U211" si="136">E208+M208</f>
        <v>#REF!</v>
      </c>
      <c r="V208" s="116" t="e">
        <f t="shared" ref="V208:V211" si="137">F208+N208</f>
        <v>#REF!</v>
      </c>
      <c r="W208" s="116" t="e">
        <f t="shared" ref="W208:W211" si="138">U208+V208</f>
        <v>#REF!</v>
      </c>
      <c r="X208" s="116" t="e">
        <f t="shared" ref="X208:X211" si="139">W208-S208</f>
        <v>#REF!</v>
      </c>
    </row>
    <row r="209" spans="1:24" ht="15" customHeight="1" x14ac:dyDescent="0.25">
      <c r="A209" s="203"/>
      <c r="B209" s="167"/>
      <c r="C209" s="165"/>
      <c r="D209" s="166"/>
      <c r="E209" s="165"/>
      <c r="F209" s="165"/>
      <c r="G209" s="165"/>
      <c r="H209" s="165"/>
      <c r="I209" s="203"/>
      <c r="J209" s="134" t="s">
        <v>50</v>
      </c>
      <c r="K209" s="116">
        <f>R173</f>
        <v>29384</v>
      </c>
      <c r="L209" s="153">
        <f>K209/K209</f>
        <v>1</v>
      </c>
      <c r="M209" s="116">
        <f t="shared" si="132"/>
        <v>29384</v>
      </c>
      <c r="N209" s="116">
        <f>K173</f>
        <v>29384</v>
      </c>
      <c r="O209" s="116">
        <f t="shared" si="133"/>
        <v>58768</v>
      </c>
      <c r="P209" s="116">
        <f t="shared" si="134"/>
        <v>29384</v>
      </c>
      <c r="Q209" s="203"/>
      <c r="R209" s="134" t="s">
        <v>50</v>
      </c>
      <c r="S209" s="116">
        <f t="shared" si="135"/>
        <v>29384</v>
      </c>
      <c r="T209" s="153">
        <f t="shared" ref="T209:T212" si="140">IF(S209=0,0,U209/S209)</f>
        <v>1</v>
      </c>
      <c r="U209" s="116">
        <f t="shared" si="136"/>
        <v>29384</v>
      </c>
      <c r="V209" s="116">
        <f t="shared" si="137"/>
        <v>29384</v>
      </c>
      <c r="W209" s="116">
        <f t="shared" si="138"/>
        <v>58768</v>
      </c>
      <c r="X209" s="116">
        <f t="shared" si="139"/>
        <v>29384</v>
      </c>
    </row>
    <row r="210" spans="1:24" ht="15" customHeight="1" x14ac:dyDescent="0.25">
      <c r="A210" s="203"/>
      <c r="B210" s="164"/>
      <c r="C210" s="165"/>
      <c r="D210" s="166"/>
      <c r="E210" s="165"/>
      <c r="F210" s="165"/>
      <c r="G210" s="165"/>
      <c r="H210" s="165"/>
      <c r="I210" s="203"/>
      <c r="J210" s="154" t="s">
        <v>54</v>
      </c>
      <c r="K210" s="116" t="e">
        <f>U173</f>
        <v>#REF!</v>
      </c>
      <c r="L210" s="153" t="e">
        <f>K210/K210</f>
        <v>#REF!</v>
      </c>
      <c r="M210" s="116" t="e">
        <f t="shared" si="132"/>
        <v>#REF!</v>
      </c>
      <c r="N210" s="116" t="e">
        <f>(G173+H173+I173+M173)/(K208+K210+K211)*K210</f>
        <v>#REF!</v>
      </c>
      <c r="O210" s="116" t="e">
        <f t="shared" si="133"/>
        <v>#REF!</v>
      </c>
      <c r="P210" s="116" t="e">
        <f t="shared" si="134"/>
        <v>#REF!</v>
      </c>
      <c r="Q210" s="203"/>
      <c r="R210" s="154" t="s">
        <v>54</v>
      </c>
      <c r="S210" s="116" t="e">
        <f t="shared" si="135"/>
        <v>#REF!</v>
      </c>
      <c r="T210" s="153" t="e">
        <f t="shared" si="140"/>
        <v>#REF!</v>
      </c>
      <c r="U210" s="116" t="e">
        <f t="shared" si="136"/>
        <v>#REF!</v>
      </c>
      <c r="V210" s="116" t="e">
        <f t="shared" si="137"/>
        <v>#REF!</v>
      </c>
      <c r="W210" s="116" t="e">
        <f t="shared" si="138"/>
        <v>#REF!</v>
      </c>
      <c r="X210" s="116" t="e">
        <f t="shared" si="139"/>
        <v>#REF!</v>
      </c>
    </row>
    <row r="211" spans="1:24" ht="15" customHeight="1" x14ac:dyDescent="0.25">
      <c r="A211" s="203"/>
      <c r="B211" s="164"/>
      <c r="C211" s="165"/>
      <c r="D211" s="166"/>
      <c r="E211" s="165"/>
      <c r="F211" s="165"/>
      <c r="G211" s="165"/>
      <c r="H211" s="165"/>
      <c r="I211" s="203"/>
      <c r="J211" s="154" t="s">
        <v>142</v>
      </c>
      <c r="K211" s="116">
        <f>V173</f>
        <v>0</v>
      </c>
      <c r="L211" s="153">
        <v>0</v>
      </c>
      <c r="M211" s="116">
        <f t="shared" si="132"/>
        <v>0</v>
      </c>
      <c r="N211" s="116" t="e">
        <f>(G173+H173+I173+M173)/(K208+K210+K211)*K211</f>
        <v>#REF!</v>
      </c>
      <c r="O211" s="116" t="e">
        <f t="shared" si="133"/>
        <v>#REF!</v>
      </c>
      <c r="P211" s="116" t="e">
        <f t="shared" si="134"/>
        <v>#REF!</v>
      </c>
      <c r="Q211" s="203"/>
      <c r="R211" s="154" t="s">
        <v>142</v>
      </c>
      <c r="S211" s="116">
        <f t="shared" si="135"/>
        <v>0</v>
      </c>
      <c r="T211" s="153">
        <f t="shared" si="140"/>
        <v>0</v>
      </c>
      <c r="U211" s="116">
        <f t="shared" si="136"/>
        <v>0</v>
      </c>
      <c r="V211" s="116" t="e">
        <f t="shared" si="137"/>
        <v>#REF!</v>
      </c>
      <c r="W211" s="116" t="e">
        <f t="shared" si="138"/>
        <v>#REF!</v>
      </c>
      <c r="X211" s="116" t="e">
        <f t="shared" si="139"/>
        <v>#REF!</v>
      </c>
    </row>
    <row r="212" spans="1:24" ht="15" customHeight="1" x14ac:dyDescent="0.25">
      <c r="A212" s="203"/>
      <c r="B212" s="159"/>
      <c r="C212" s="168"/>
      <c r="D212" s="169"/>
      <c r="E212" s="168"/>
      <c r="F212" s="168"/>
      <c r="G212" s="168"/>
      <c r="H212" s="168"/>
      <c r="I212" s="203"/>
      <c r="J212" s="111" t="s">
        <v>163</v>
      </c>
      <c r="K212" s="125" t="e">
        <f>SUM(K208:K211)</f>
        <v>#REF!</v>
      </c>
      <c r="L212" s="155" t="e">
        <f t="shared" ref="L212" si="141">IF(K212=0,0,M212/K212)</f>
        <v>#REF!</v>
      </c>
      <c r="M212" s="125" t="e">
        <f>SUM(M208:M211)</f>
        <v>#REF!</v>
      </c>
      <c r="N212" s="125" t="e">
        <f>SUM(N208:N211)</f>
        <v>#REF!</v>
      </c>
      <c r="O212" s="125" t="e">
        <f>SUM(O208:O211)</f>
        <v>#REF!</v>
      </c>
      <c r="P212" s="125" t="e">
        <f>SUM(P208:P211)</f>
        <v>#REF!</v>
      </c>
      <c r="Q212" s="203"/>
      <c r="R212" s="111" t="s">
        <v>163</v>
      </c>
      <c r="S212" s="125" t="e">
        <f>SUM(S208:S211)</f>
        <v>#REF!</v>
      </c>
      <c r="T212" s="155" t="e">
        <f t="shared" si="140"/>
        <v>#REF!</v>
      </c>
      <c r="U212" s="125" t="e">
        <f>SUM(U208:U211)</f>
        <v>#REF!</v>
      </c>
      <c r="V212" s="125" t="e">
        <f>SUM(V208:V211)</f>
        <v>#REF!</v>
      </c>
      <c r="W212" s="125" t="e">
        <f>SUM(W208:W211)</f>
        <v>#REF!</v>
      </c>
      <c r="X212" s="125" t="e">
        <f>SUM(X208:X211)</f>
        <v>#REF!</v>
      </c>
    </row>
    <row r="213" spans="1:24" ht="15" customHeight="1" x14ac:dyDescent="0.25">
      <c r="A213" s="203"/>
      <c r="B213" s="362"/>
      <c r="C213" s="362"/>
      <c r="D213" s="362"/>
      <c r="E213" s="362"/>
      <c r="F213" s="362"/>
      <c r="G213" s="362"/>
      <c r="H213" s="362"/>
      <c r="I213" s="203"/>
      <c r="J213" s="361" t="s">
        <v>298</v>
      </c>
      <c r="K213" s="361"/>
      <c r="L213" s="361"/>
      <c r="M213" s="361"/>
      <c r="N213" s="361"/>
      <c r="O213" s="361"/>
      <c r="P213" s="361"/>
      <c r="Q213" s="203"/>
      <c r="R213" s="363" t="s">
        <v>63</v>
      </c>
      <c r="S213" s="363"/>
      <c r="T213" s="363"/>
      <c r="U213" s="363"/>
      <c r="V213" s="363"/>
      <c r="W213" s="363"/>
      <c r="X213" s="363"/>
    </row>
    <row r="214" spans="1:24" ht="15" customHeight="1" x14ac:dyDescent="0.25">
      <c r="A214" s="203"/>
      <c r="I214" s="203"/>
      <c r="Q214" s="203"/>
    </row>
    <row r="215" spans="1:24" ht="15" customHeight="1" x14ac:dyDescent="0.25">
      <c r="A215" s="202" t="s">
        <v>359</v>
      </c>
      <c r="B215" s="157" t="s">
        <v>14</v>
      </c>
      <c r="C215" s="158" t="s">
        <v>37</v>
      </c>
      <c r="D215" s="158" t="s">
        <v>38</v>
      </c>
      <c r="E215" s="158" t="s">
        <v>345</v>
      </c>
      <c r="F215" s="158" t="s">
        <v>20</v>
      </c>
      <c r="G215" s="158" t="s">
        <v>346</v>
      </c>
      <c r="H215" s="158" t="s">
        <v>347</v>
      </c>
      <c r="I215" s="202" t="s">
        <v>359</v>
      </c>
      <c r="J215" s="157" t="str">
        <f>B215</f>
        <v>Formations</v>
      </c>
      <c r="K215" s="158" t="s">
        <v>37</v>
      </c>
      <c r="L215" s="158" t="s">
        <v>38</v>
      </c>
      <c r="M215" s="158" t="s">
        <v>345</v>
      </c>
      <c r="N215" s="158" t="s">
        <v>20</v>
      </c>
      <c r="O215" s="158" t="s">
        <v>346</v>
      </c>
      <c r="P215" s="158" t="s">
        <v>347</v>
      </c>
      <c r="Q215" s="202" t="s">
        <v>359</v>
      </c>
      <c r="R215" s="157" t="str">
        <f>B215</f>
        <v>Formations</v>
      </c>
      <c r="S215" s="158" t="s">
        <v>37</v>
      </c>
      <c r="T215" s="158" t="s">
        <v>38</v>
      </c>
      <c r="U215" s="158" t="s">
        <v>345</v>
      </c>
      <c r="V215" s="158" t="s">
        <v>20</v>
      </c>
      <c r="W215" s="158" t="s">
        <v>346</v>
      </c>
      <c r="X215" s="158" t="s">
        <v>347</v>
      </c>
    </row>
    <row r="216" spans="1:24" ht="15" customHeight="1" x14ac:dyDescent="0.25">
      <c r="A216" s="203"/>
      <c r="B216" s="111" t="s">
        <v>62</v>
      </c>
      <c r="C216" s="150" t="s">
        <v>160</v>
      </c>
      <c r="D216" s="151" t="s">
        <v>161</v>
      </c>
      <c r="E216" s="149" t="s">
        <v>156</v>
      </c>
      <c r="F216" s="149" t="s">
        <v>303</v>
      </c>
      <c r="G216" s="152" t="s">
        <v>78</v>
      </c>
      <c r="H216" s="152" t="s">
        <v>148</v>
      </c>
      <c r="I216" s="203"/>
      <c r="J216" s="164"/>
      <c r="K216" s="165"/>
      <c r="L216" s="166"/>
      <c r="M216" s="165"/>
      <c r="N216" s="165"/>
      <c r="O216" s="165"/>
      <c r="P216" s="165"/>
      <c r="Q216" s="203"/>
      <c r="R216" s="111" t="s">
        <v>7</v>
      </c>
      <c r="S216" s="150" t="s">
        <v>160</v>
      </c>
      <c r="T216" s="151" t="s">
        <v>161</v>
      </c>
      <c r="U216" s="149" t="s">
        <v>156</v>
      </c>
      <c r="V216" s="149" t="s">
        <v>303</v>
      </c>
      <c r="W216" s="152" t="s">
        <v>78</v>
      </c>
      <c r="X216" s="152" t="s">
        <v>148</v>
      </c>
    </row>
    <row r="217" spans="1:24" ht="15" customHeight="1" x14ac:dyDescent="0.25">
      <c r="A217" s="203"/>
      <c r="B217" s="154" t="s">
        <v>145</v>
      </c>
      <c r="C217" s="116" t="e">
        <f>Q144-Q145+Q157</f>
        <v>#REF!</v>
      </c>
      <c r="D217" s="153" t="e">
        <f>#REF!/#REF!</f>
        <v>#REF!</v>
      </c>
      <c r="E217" s="116" t="e">
        <f t="shared" ref="E217:E220" si="142">C217*D217</f>
        <v>#REF!</v>
      </c>
      <c r="F217" s="116" t="e">
        <f>(G144+H144+I144+M144-G145-H145-I145-M145+G157+H157+I157+M157)/(C217+C219+C220)*C217</f>
        <v>#REF!</v>
      </c>
      <c r="G217" s="116" t="e">
        <f t="shared" ref="G217:G220" si="143">E217+F217</f>
        <v>#REF!</v>
      </c>
      <c r="H217" s="116" t="e">
        <f t="shared" ref="H217:H220" si="144">G217-C217</f>
        <v>#REF!</v>
      </c>
      <c r="I217" s="203"/>
      <c r="J217" s="164"/>
      <c r="K217" s="165"/>
      <c r="L217" s="166"/>
      <c r="M217" s="165"/>
      <c r="N217" s="165"/>
      <c r="O217" s="165"/>
      <c r="P217" s="165"/>
      <c r="Q217" s="203"/>
      <c r="R217" s="154" t="s">
        <v>145</v>
      </c>
      <c r="S217" s="116" t="e">
        <f t="shared" ref="S217:S220" si="145">C217+K217</f>
        <v>#REF!</v>
      </c>
      <c r="T217" s="153" t="e">
        <f>IF(S217=0,0,U217/S217)</f>
        <v>#REF!</v>
      </c>
      <c r="U217" s="116" t="e">
        <f t="shared" ref="U217:U220" si="146">E217+M217</f>
        <v>#REF!</v>
      </c>
      <c r="V217" s="116" t="e">
        <f t="shared" ref="V217:V220" si="147">F217+N217</f>
        <v>#REF!</v>
      </c>
      <c r="W217" s="116" t="e">
        <f t="shared" ref="W217:W220" si="148">U217+V217</f>
        <v>#REF!</v>
      </c>
      <c r="X217" s="116" t="e">
        <f t="shared" ref="X217:X220" si="149">W217-S217</f>
        <v>#REF!</v>
      </c>
    </row>
    <row r="218" spans="1:24" ht="15" customHeight="1" x14ac:dyDescent="0.25">
      <c r="A218" s="203"/>
      <c r="B218" s="134" t="s">
        <v>50</v>
      </c>
      <c r="C218" s="116">
        <f>R144-R145+R157</f>
        <v>1200</v>
      </c>
      <c r="D218" s="153" t="e">
        <f>#REF!/#REF!</f>
        <v>#REF!</v>
      </c>
      <c r="E218" s="116" t="e">
        <f t="shared" si="142"/>
        <v>#REF!</v>
      </c>
      <c r="F218" s="116">
        <f>K144-K145+K157</f>
        <v>1200</v>
      </c>
      <c r="G218" s="116" t="e">
        <f t="shared" si="143"/>
        <v>#REF!</v>
      </c>
      <c r="H218" s="116" t="e">
        <f t="shared" si="144"/>
        <v>#REF!</v>
      </c>
      <c r="I218" s="203"/>
      <c r="J218" s="167"/>
      <c r="K218" s="165"/>
      <c r="L218" s="166"/>
      <c r="M218" s="165"/>
      <c r="N218" s="165"/>
      <c r="O218" s="165"/>
      <c r="P218" s="165"/>
      <c r="Q218" s="203"/>
      <c r="R218" s="134" t="s">
        <v>50</v>
      </c>
      <c r="S218" s="116">
        <f t="shared" si="145"/>
        <v>1200</v>
      </c>
      <c r="T218" s="153" t="e">
        <f t="shared" ref="T218:T221" si="150">IF(S218=0,0,U218/S218)</f>
        <v>#REF!</v>
      </c>
      <c r="U218" s="116" t="e">
        <f t="shared" si="146"/>
        <v>#REF!</v>
      </c>
      <c r="V218" s="116">
        <f t="shared" si="147"/>
        <v>1200</v>
      </c>
      <c r="W218" s="116" t="e">
        <f t="shared" si="148"/>
        <v>#REF!</v>
      </c>
      <c r="X218" s="116" t="e">
        <f t="shared" si="149"/>
        <v>#REF!</v>
      </c>
    </row>
    <row r="219" spans="1:24" ht="15" customHeight="1" x14ac:dyDescent="0.25">
      <c r="A219" s="203"/>
      <c r="B219" s="154" t="s">
        <v>54</v>
      </c>
      <c r="C219" s="116" t="e">
        <f>U144-U145+U157</f>
        <v>#REF!</v>
      </c>
      <c r="D219" s="153" t="e">
        <f>#REF!/#REF!</f>
        <v>#REF!</v>
      </c>
      <c r="E219" s="116" t="e">
        <f t="shared" si="142"/>
        <v>#REF!</v>
      </c>
      <c r="F219" s="116" t="e">
        <f>(G144+H144+I144+M144-G145-H145-I145-M145+G157+H157+I157+M157)/(C217+C219+C220)*C219</f>
        <v>#REF!</v>
      </c>
      <c r="G219" s="116" t="e">
        <f t="shared" si="143"/>
        <v>#REF!</v>
      </c>
      <c r="H219" s="116" t="e">
        <f t="shared" si="144"/>
        <v>#REF!</v>
      </c>
      <c r="I219" s="203"/>
      <c r="J219" s="164"/>
      <c r="K219" s="165"/>
      <c r="L219" s="166"/>
      <c r="M219" s="165"/>
      <c r="N219" s="165"/>
      <c r="O219" s="165"/>
      <c r="P219" s="165"/>
      <c r="Q219" s="203"/>
      <c r="R219" s="154" t="s">
        <v>54</v>
      </c>
      <c r="S219" s="116" t="e">
        <f t="shared" si="145"/>
        <v>#REF!</v>
      </c>
      <c r="T219" s="153" t="e">
        <f t="shared" si="150"/>
        <v>#REF!</v>
      </c>
      <c r="U219" s="116" t="e">
        <f t="shared" si="146"/>
        <v>#REF!</v>
      </c>
      <c r="V219" s="116" t="e">
        <f t="shared" si="147"/>
        <v>#REF!</v>
      </c>
      <c r="W219" s="116" t="e">
        <f t="shared" si="148"/>
        <v>#REF!</v>
      </c>
      <c r="X219" s="116" t="e">
        <f t="shared" si="149"/>
        <v>#REF!</v>
      </c>
    </row>
    <row r="220" spans="1:24" ht="15" customHeight="1" x14ac:dyDescent="0.25">
      <c r="A220" s="203"/>
      <c r="B220" s="154" t="s">
        <v>142</v>
      </c>
      <c r="C220" s="116" t="e">
        <f>V144-V145+V157</f>
        <v>#REF!</v>
      </c>
      <c r="D220" s="153" t="e">
        <f>#REF!/#REF!</f>
        <v>#REF!</v>
      </c>
      <c r="E220" s="116" t="e">
        <f t="shared" si="142"/>
        <v>#REF!</v>
      </c>
      <c r="F220" s="116" t="e">
        <f>(G144+H144+I144+M144-G145-H145-I145-M145+G157+H157+I157+M157)/(C217+C219+C220)*C220</f>
        <v>#REF!</v>
      </c>
      <c r="G220" s="116" t="e">
        <f t="shared" si="143"/>
        <v>#REF!</v>
      </c>
      <c r="H220" s="116" t="e">
        <f t="shared" si="144"/>
        <v>#REF!</v>
      </c>
      <c r="I220" s="203"/>
      <c r="J220" s="164"/>
      <c r="K220" s="165"/>
      <c r="L220" s="166"/>
      <c r="M220" s="165"/>
      <c r="N220" s="165"/>
      <c r="O220" s="165"/>
      <c r="P220" s="165"/>
      <c r="Q220" s="203"/>
      <c r="R220" s="154" t="s">
        <v>142</v>
      </c>
      <c r="S220" s="116" t="e">
        <f t="shared" si="145"/>
        <v>#REF!</v>
      </c>
      <c r="T220" s="153" t="e">
        <f t="shared" si="150"/>
        <v>#REF!</v>
      </c>
      <c r="U220" s="116" t="e">
        <f t="shared" si="146"/>
        <v>#REF!</v>
      </c>
      <c r="V220" s="116" t="e">
        <f t="shared" si="147"/>
        <v>#REF!</v>
      </c>
      <c r="W220" s="116" t="e">
        <f t="shared" si="148"/>
        <v>#REF!</v>
      </c>
      <c r="X220" s="116" t="e">
        <f t="shared" si="149"/>
        <v>#REF!</v>
      </c>
    </row>
    <row r="221" spans="1:24" ht="15" customHeight="1" x14ac:dyDescent="0.25">
      <c r="A221" s="203"/>
      <c r="B221" s="111" t="s">
        <v>163</v>
      </c>
      <c r="C221" s="125" t="e">
        <f>SUM(C217:C220)</f>
        <v>#REF!</v>
      </c>
      <c r="D221" s="155" t="e">
        <f t="shared" ref="D221" si="151">IF(C221=0,0,E221/C221)</f>
        <v>#REF!</v>
      </c>
      <c r="E221" s="125" t="e">
        <f>SUM(E217:E220)</f>
        <v>#REF!</v>
      </c>
      <c r="F221" s="125" t="e">
        <f>SUM(F217:F220)</f>
        <v>#REF!</v>
      </c>
      <c r="G221" s="125" t="e">
        <f>SUM(G217:G220)</f>
        <v>#REF!</v>
      </c>
      <c r="H221" s="125" t="e">
        <f>SUM(H217:H220)</f>
        <v>#REF!</v>
      </c>
      <c r="I221" s="203"/>
      <c r="J221" s="159"/>
      <c r="K221" s="168"/>
      <c r="L221" s="169"/>
      <c r="M221" s="168"/>
      <c r="N221" s="168"/>
      <c r="O221" s="168"/>
      <c r="P221" s="168"/>
      <c r="Q221" s="203"/>
      <c r="R221" s="111" t="s">
        <v>163</v>
      </c>
      <c r="S221" s="125" t="e">
        <f>SUM(S217:S220)</f>
        <v>#REF!</v>
      </c>
      <c r="T221" s="155" t="e">
        <f t="shared" si="150"/>
        <v>#REF!</v>
      </c>
      <c r="U221" s="125" t="e">
        <f>SUM(U217:U220)</f>
        <v>#REF!</v>
      </c>
      <c r="V221" s="125" t="e">
        <f>SUM(V217:V220)</f>
        <v>#REF!</v>
      </c>
      <c r="W221" s="125" t="e">
        <f>SUM(W217:W220)</f>
        <v>#REF!</v>
      </c>
      <c r="X221" s="125" t="e">
        <f>SUM(X217:X220)</f>
        <v>#REF!</v>
      </c>
    </row>
    <row r="222" spans="1:24" ht="15" customHeight="1" x14ac:dyDescent="0.25">
      <c r="A222" s="203"/>
      <c r="B222" s="362" t="s">
        <v>293</v>
      </c>
      <c r="C222" s="362"/>
      <c r="D222" s="362"/>
      <c r="E222" s="362"/>
      <c r="F222" s="362"/>
      <c r="G222" s="362"/>
      <c r="H222" s="362"/>
      <c r="I222" s="203"/>
      <c r="J222" s="361"/>
      <c r="K222" s="361"/>
      <c r="L222" s="361"/>
      <c r="M222" s="361"/>
      <c r="N222" s="361"/>
      <c r="O222" s="361"/>
      <c r="P222" s="361"/>
      <c r="Q222" s="203"/>
      <c r="R222" s="363" t="s">
        <v>62</v>
      </c>
      <c r="S222" s="363"/>
      <c r="T222" s="363"/>
      <c r="U222" s="363"/>
      <c r="V222" s="363"/>
      <c r="W222" s="363"/>
      <c r="X222" s="363"/>
    </row>
    <row r="223" spans="1:24" ht="15" customHeight="1" x14ac:dyDescent="0.25">
      <c r="A223" s="203"/>
      <c r="B223" s="96" t="s">
        <v>291</v>
      </c>
      <c r="I223" s="203"/>
      <c r="Q223" s="203"/>
    </row>
    <row r="224" spans="1:24" ht="15" customHeight="1" x14ac:dyDescent="0.25">
      <c r="A224" s="202" t="s">
        <v>360</v>
      </c>
      <c r="B224" s="157" t="s">
        <v>349</v>
      </c>
      <c r="C224" s="158" t="s">
        <v>37</v>
      </c>
      <c r="D224" s="158" t="s">
        <v>38</v>
      </c>
      <c r="E224" s="158" t="s">
        <v>345</v>
      </c>
      <c r="F224" s="158" t="s">
        <v>20</v>
      </c>
      <c r="G224" s="158" t="s">
        <v>346</v>
      </c>
      <c r="H224" s="158" t="s">
        <v>347</v>
      </c>
      <c r="I224" s="202" t="s">
        <v>360</v>
      </c>
      <c r="J224" s="157" t="str">
        <f>B224</f>
        <v>Réseau</v>
      </c>
      <c r="K224" s="158" t="s">
        <v>37</v>
      </c>
      <c r="L224" s="158" t="s">
        <v>38</v>
      </c>
      <c r="M224" s="158" t="s">
        <v>345</v>
      </c>
      <c r="N224" s="158" t="s">
        <v>20</v>
      </c>
      <c r="O224" s="158" t="s">
        <v>346</v>
      </c>
      <c r="P224" s="158" t="s">
        <v>347</v>
      </c>
      <c r="Q224" s="202" t="s">
        <v>360</v>
      </c>
      <c r="R224" s="157" t="str">
        <f>B224</f>
        <v>Réseau</v>
      </c>
      <c r="S224" s="158" t="s">
        <v>37</v>
      </c>
      <c r="T224" s="158" t="s">
        <v>38</v>
      </c>
      <c r="U224" s="158" t="s">
        <v>345</v>
      </c>
      <c r="V224" s="158" t="s">
        <v>20</v>
      </c>
      <c r="W224" s="158" t="s">
        <v>346</v>
      </c>
      <c r="X224" s="158" t="s">
        <v>347</v>
      </c>
    </row>
    <row r="225" spans="1:24" ht="15" customHeight="1" x14ac:dyDescent="0.25">
      <c r="A225" s="203"/>
      <c r="B225" s="111" t="s">
        <v>62</v>
      </c>
      <c r="C225" s="150" t="s">
        <v>160</v>
      </c>
      <c r="D225" s="151" t="s">
        <v>161</v>
      </c>
      <c r="E225" s="149" t="s">
        <v>156</v>
      </c>
      <c r="F225" s="149" t="s">
        <v>303</v>
      </c>
      <c r="G225" s="152" t="s">
        <v>78</v>
      </c>
      <c r="H225" s="152" t="s">
        <v>148</v>
      </c>
      <c r="I225" s="203"/>
      <c r="J225" s="111" t="s">
        <v>63</v>
      </c>
      <c r="K225" s="150" t="s">
        <v>160</v>
      </c>
      <c r="L225" s="151" t="s">
        <v>161</v>
      </c>
      <c r="M225" s="149" t="s">
        <v>156</v>
      </c>
      <c r="N225" s="149" t="s">
        <v>303</v>
      </c>
      <c r="O225" s="152" t="s">
        <v>78</v>
      </c>
      <c r="P225" s="152" t="s">
        <v>148</v>
      </c>
      <c r="Q225" s="203"/>
      <c r="R225" s="111" t="s">
        <v>7</v>
      </c>
      <c r="S225" s="150" t="s">
        <v>160</v>
      </c>
      <c r="T225" s="151" t="s">
        <v>161</v>
      </c>
      <c r="U225" s="149" t="s">
        <v>156</v>
      </c>
      <c r="V225" s="149" t="s">
        <v>303</v>
      </c>
      <c r="W225" s="152" t="s">
        <v>78</v>
      </c>
      <c r="X225" s="152" t="s">
        <v>148</v>
      </c>
    </row>
    <row r="226" spans="1:24" ht="15" customHeight="1" x14ac:dyDescent="0.25">
      <c r="A226" s="203"/>
      <c r="B226" s="154" t="s">
        <v>145</v>
      </c>
      <c r="C226" s="116" t="e">
        <f>Q145+Q149</f>
        <v>#REF!</v>
      </c>
      <c r="D226" s="153" t="e">
        <f>#REF!/#REF!</f>
        <v>#REF!</v>
      </c>
      <c r="E226" s="116" t="e">
        <f t="shared" ref="E226:E229" si="152">C226*D226</f>
        <v>#REF!</v>
      </c>
      <c r="F226" s="116" t="e">
        <f>(G145+H145+I145+M145+G149+H149+I149+M149)/(C226+C228+C229)*C226</f>
        <v>#REF!</v>
      </c>
      <c r="G226" s="116" t="e">
        <f t="shared" ref="G226:G229" si="153">E226+F226</f>
        <v>#REF!</v>
      </c>
      <c r="H226" s="116" t="e">
        <f t="shared" ref="H226:H229" si="154">G226-C226</f>
        <v>#REF!</v>
      </c>
      <c r="I226" s="203"/>
      <c r="J226" s="154" t="s">
        <v>145</v>
      </c>
      <c r="K226" s="116" t="e">
        <f>Q174+Q178+Q179</f>
        <v>#REF!</v>
      </c>
      <c r="L226" s="153" t="e">
        <f>(#REF!-$K$208-$K$209-$K$210)/(#REF!-$K$208-$K$209-$K$210)</f>
        <v>#REF!</v>
      </c>
      <c r="M226" s="116" t="e">
        <f t="shared" ref="M226:M229" si="155">K226*L226</f>
        <v>#REF!</v>
      </c>
      <c r="N226" s="116" t="e">
        <f>(G174+H174+I174+M174+G178+H178+I178+M178+G179+H179+I179+M179)/(K226+K228+K229)*K226</f>
        <v>#REF!</v>
      </c>
      <c r="O226" s="116" t="e">
        <f t="shared" ref="O226:O229" si="156">M226+N226</f>
        <v>#REF!</v>
      </c>
      <c r="P226" s="116" t="e">
        <f t="shared" ref="P226:P229" si="157">O226-K226</f>
        <v>#REF!</v>
      </c>
      <c r="Q226" s="203"/>
      <c r="R226" s="154" t="s">
        <v>145</v>
      </c>
      <c r="S226" s="116" t="e">
        <f t="shared" ref="S226:S229" si="158">C226+K226</f>
        <v>#REF!</v>
      </c>
      <c r="T226" s="153" t="e">
        <f>IF(S226=0,0,U226/S226)</f>
        <v>#REF!</v>
      </c>
      <c r="U226" s="116" t="e">
        <f t="shared" ref="U226:U229" si="159">E226+M226</f>
        <v>#REF!</v>
      </c>
      <c r="V226" s="116" t="e">
        <f t="shared" ref="V226:V229" si="160">F226+N226</f>
        <v>#REF!</v>
      </c>
      <c r="W226" s="116" t="e">
        <f t="shared" ref="W226:W229" si="161">U226+V226</f>
        <v>#REF!</v>
      </c>
      <c r="X226" s="116" t="e">
        <f t="shared" ref="X226:X229" si="162">W226-S226</f>
        <v>#REF!</v>
      </c>
    </row>
    <row r="227" spans="1:24" ht="15" customHeight="1" x14ac:dyDescent="0.25">
      <c r="A227" s="203"/>
      <c r="B227" s="134" t="s">
        <v>50</v>
      </c>
      <c r="C227" s="116">
        <f>R145+R149</f>
        <v>7425</v>
      </c>
      <c r="D227" s="153" t="e">
        <f>#REF!/#REF!</f>
        <v>#REF!</v>
      </c>
      <c r="E227" s="116" t="e">
        <f t="shared" si="152"/>
        <v>#REF!</v>
      </c>
      <c r="F227" s="116">
        <f>K145+K149</f>
        <v>7425</v>
      </c>
      <c r="G227" s="116" t="e">
        <f t="shared" si="153"/>
        <v>#REF!</v>
      </c>
      <c r="H227" s="116" t="e">
        <f t="shared" si="154"/>
        <v>#REF!</v>
      </c>
      <c r="I227" s="203"/>
      <c r="J227" s="134" t="s">
        <v>50</v>
      </c>
      <c r="K227" s="116">
        <f>R174+R178+R179</f>
        <v>95616</v>
      </c>
      <c r="L227" s="153" t="e">
        <f>(#REF!-$K$208-$K$209-$K$210)/(#REF!-$K$208-$K$209-$K$210)</f>
        <v>#REF!</v>
      </c>
      <c r="M227" s="116" t="e">
        <f t="shared" si="155"/>
        <v>#REF!</v>
      </c>
      <c r="N227" s="116">
        <f>K174+K178+K179</f>
        <v>95616</v>
      </c>
      <c r="O227" s="116" t="e">
        <f t="shared" si="156"/>
        <v>#REF!</v>
      </c>
      <c r="P227" s="116" t="e">
        <f t="shared" si="157"/>
        <v>#REF!</v>
      </c>
      <c r="Q227" s="203"/>
      <c r="R227" s="134" t="s">
        <v>50</v>
      </c>
      <c r="S227" s="116">
        <f t="shared" si="158"/>
        <v>103041</v>
      </c>
      <c r="T227" s="153" t="e">
        <f t="shared" ref="T227:T230" si="163">IF(S227=0,0,U227/S227)</f>
        <v>#REF!</v>
      </c>
      <c r="U227" s="116" t="e">
        <f t="shared" si="159"/>
        <v>#REF!</v>
      </c>
      <c r="V227" s="116">
        <f t="shared" si="160"/>
        <v>103041</v>
      </c>
      <c r="W227" s="116" t="e">
        <f t="shared" si="161"/>
        <v>#REF!</v>
      </c>
      <c r="X227" s="116" t="e">
        <f t="shared" si="162"/>
        <v>#REF!</v>
      </c>
    </row>
    <row r="228" spans="1:24" ht="15" customHeight="1" x14ac:dyDescent="0.25">
      <c r="A228" s="203"/>
      <c r="B228" s="154" t="s">
        <v>54</v>
      </c>
      <c r="C228" s="116" t="e">
        <f>U145+U149</f>
        <v>#REF!</v>
      </c>
      <c r="D228" s="153" t="e">
        <f>#REF!/#REF!</f>
        <v>#REF!</v>
      </c>
      <c r="E228" s="116" t="e">
        <f t="shared" si="152"/>
        <v>#REF!</v>
      </c>
      <c r="F228" s="116" t="e">
        <f>(G145+H145+I145+M145+G149+H149+I149+M149)/(C226+C228+C229)*C228</f>
        <v>#REF!</v>
      </c>
      <c r="G228" s="116" t="e">
        <f t="shared" si="153"/>
        <v>#REF!</v>
      </c>
      <c r="H228" s="116" t="e">
        <f t="shared" si="154"/>
        <v>#REF!</v>
      </c>
      <c r="I228" s="203"/>
      <c r="J228" s="154" t="s">
        <v>54</v>
      </c>
      <c r="K228" s="116" t="e">
        <f>U174+U178+U179</f>
        <v>#REF!</v>
      </c>
      <c r="L228" s="153" t="e">
        <f>(#REF!-$K$208-$K$209-$K$210)/(#REF!-$K$208-$K$209-$K$210)</f>
        <v>#REF!</v>
      </c>
      <c r="M228" s="116" t="e">
        <f t="shared" si="155"/>
        <v>#REF!</v>
      </c>
      <c r="N228" s="116" t="e">
        <f>(G174+H174+I174+M174+G178+H178+I178+M178+G179+H179+I179+M179)/(K226+K228+K229)*K228</f>
        <v>#REF!</v>
      </c>
      <c r="O228" s="116" t="e">
        <f t="shared" si="156"/>
        <v>#REF!</v>
      </c>
      <c r="P228" s="116" t="e">
        <f t="shared" si="157"/>
        <v>#REF!</v>
      </c>
      <c r="Q228" s="203"/>
      <c r="R228" s="154" t="s">
        <v>54</v>
      </c>
      <c r="S228" s="116" t="e">
        <f t="shared" si="158"/>
        <v>#REF!</v>
      </c>
      <c r="T228" s="153" t="e">
        <f t="shared" si="163"/>
        <v>#REF!</v>
      </c>
      <c r="U228" s="116" t="e">
        <f t="shared" si="159"/>
        <v>#REF!</v>
      </c>
      <c r="V228" s="116" t="e">
        <f t="shared" si="160"/>
        <v>#REF!</v>
      </c>
      <c r="W228" s="116" t="e">
        <f t="shared" si="161"/>
        <v>#REF!</v>
      </c>
      <c r="X228" s="116" t="e">
        <f t="shared" si="162"/>
        <v>#REF!</v>
      </c>
    </row>
    <row r="229" spans="1:24" ht="15" customHeight="1" x14ac:dyDescent="0.25">
      <c r="A229" s="203"/>
      <c r="B229" s="154" t="s">
        <v>142</v>
      </c>
      <c r="C229" s="116" t="e">
        <f>V145+V149</f>
        <v>#REF!</v>
      </c>
      <c r="D229" s="153" t="e">
        <f>#REF!/#REF!</f>
        <v>#REF!</v>
      </c>
      <c r="E229" s="116" t="e">
        <f t="shared" si="152"/>
        <v>#REF!</v>
      </c>
      <c r="F229" s="116" t="e">
        <f>(G145+H145+I145+M145+G149+H149+I149+M149)/(C226+C228+C229)*C229</f>
        <v>#REF!</v>
      </c>
      <c r="G229" s="116" t="e">
        <f t="shared" si="153"/>
        <v>#REF!</v>
      </c>
      <c r="H229" s="116" t="e">
        <f t="shared" si="154"/>
        <v>#REF!</v>
      </c>
      <c r="I229" s="203"/>
      <c r="J229" s="154" t="s">
        <v>142</v>
      </c>
      <c r="K229" s="116" t="e">
        <f>V174+V178+V179</f>
        <v>#REF!</v>
      </c>
      <c r="L229" s="153" t="e">
        <f>(#REF!-$K$208-$K$209-$K$210)/(#REF!-$K$208-$K$209-$K$210)</f>
        <v>#REF!</v>
      </c>
      <c r="M229" s="116" t="e">
        <f t="shared" si="155"/>
        <v>#REF!</v>
      </c>
      <c r="N229" s="116" t="e">
        <f>(G174+H174+I174+M174+G178+H178+I178+M178+G179+H179+I179+M179)/(K226+K228+K229)*K229</f>
        <v>#REF!</v>
      </c>
      <c r="O229" s="116" t="e">
        <f t="shared" si="156"/>
        <v>#REF!</v>
      </c>
      <c r="P229" s="116" t="e">
        <f t="shared" si="157"/>
        <v>#REF!</v>
      </c>
      <c r="Q229" s="203"/>
      <c r="R229" s="154" t="s">
        <v>142</v>
      </c>
      <c r="S229" s="116" t="e">
        <f t="shared" si="158"/>
        <v>#REF!</v>
      </c>
      <c r="T229" s="153" t="e">
        <f t="shared" si="163"/>
        <v>#REF!</v>
      </c>
      <c r="U229" s="116" t="e">
        <f t="shared" si="159"/>
        <v>#REF!</v>
      </c>
      <c r="V229" s="116" t="e">
        <f t="shared" si="160"/>
        <v>#REF!</v>
      </c>
      <c r="W229" s="116" t="e">
        <f t="shared" si="161"/>
        <v>#REF!</v>
      </c>
      <c r="X229" s="116" t="e">
        <f t="shared" si="162"/>
        <v>#REF!</v>
      </c>
    </row>
    <row r="230" spans="1:24" ht="15" customHeight="1" x14ac:dyDescent="0.25">
      <c r="A230" s="203"/>
      <c r="B230" s="111" t="s">
        <v>163</v>
      </c>
      <c r="C230" s="125" t="e">
        <f>SUM(C226:C229)</f>
        <v>#REF!</v>
      </c>
      <c r="D230" s="155" t="e">
        <f t="shared" ref="D230" si="164">IF(C230=0,0,E230/C230)</f>
        <v>#REF!</v>
      </c>
      <c r="E230" s="125" t="e">
        <f>SUM(E226:E229)</f>
        <v>#REF!</v>
      </c>
      <c r="F230" s="125" t="e">
        <f>SUM(F226:F229)</f>
        <v>#REF!</v>
      </c>
      <c r="G230" s="125" t="e">
        <f>SUM(G226:G229)</f>
        <v>#REF!</v>
      </c>
      <c r="H230" s="125" t="e">
        <f>SUM(H226:H229)</f>
        <v>#REF!</v>
      </c>
      <c r="I230" s="203"/>
      <c r="J230" s="111" t="s">
        <v>163</v>
      </c>
      <c r="K230" s="125" t="e">
        <f>SUM(K226:K229)</f>
        <v>#REF!</v>
      </c>
      <c r="L230" s="155" t="e">
        <f t="shared" ref="L230" si="165">IF(K230=0,0,M230/K230)</f>
        <v>#REF!</v>
      </c>
      <c r="M230" s="125" t="e">
        <f>SUM(M226:M229)</f>
        <v>#REF!</v>
      </c>
      <c r="N230" s="125" t="e">
        <f>SUM(N226:N229)</f>
        <v>#REF!</v>
      </c>
      <c r="O230" s="125" t="e">
        <f>SUM(O226:O229)</f>
        <v>#REF!</v>
      </c>
      <c r="P230" s="125" t="e">
        <f>SUM(P226:P229)</f>
        <v>#REF!</v>
      </c>
      <c r="Q230" s="203"/>
      <c r="R230" s="111" t="s">
        <v>163</v>
      </c>
      <c r="S230" s="125" t="e">
        <f>SUM(S226:S229)</f>
        <v>#REF!</v>
      </c>
      <c r="T230" s="155" t="e">
        <f t="shared" si="163"/>
        <v>#REF!</v>
      </c>
      <c r="U230" s="125" t="e">
        <f>SUM(U226:U229)</f>
        <v>#REF!</v>
      </c>
      <c r="V230" s="125" t="e">
        <f>SUM(V226:V229)</f>
        <v>#REF!</v>
      </c>
      <c r="W230" s="125" t="e">
        <f>SUM(W226:W229)</f>
        <v>#REF!</v>
      </c>
      <c r="X230" s="125" t="e">
        <f>SUM(X226:X229)</f>
        <v>#REF!</v>
      </c>
    </row>
    <row r="231" spans="1:24" ht="15" customHeight="1" x14ac:dyDescent="0.25">
      <c r="A231" s="203"/>
      <c r="B231" s="362" t="s">
        <v>294</v>
      </c>
      <c r="C231" s="362"/>
      <c r="D231" s="362"/>
      <c r="E231" s="362"/>
      <c r="F231" s="362"/>
      <c r="G231" s="362"/>
      <c r="H231" s="362"/>
      <c r="I231" s="203"/>
      <c r="J231" s="361" t="s">
        <v>300</v>
      </c>
      <c r="K231" s="361"/>
      <c r="L231" s="361"/>
      <c r="M231" s="361"/>
      <c r="N231" s="361"/>
      <c r="O231" s="361"/>
      <c r="P231" s="361"/>
      <c r="Q231" s="203"/>
      <c r="R231" s="363" t="s">
        <v>310</v>
      </c>
      <c r="S231" s="363"/>
      <c r="T231" s="363"/>
      <c r="U231" s="363"/>
      <c r="V231" s="363"/>
      <c r="W231" s="363"/>
      <c r="X231" s="363"/>
    </row>
    <row r="232" spans="1:24" ht="15" customHeight="1" x14ac:dyDescent="0.25">
      <c r="A232" s="203"/>
      <c r="I232" s="203"/>
      <c r="Q232" s="203"/>
    </row>
    <row r="233" spans="1:24" ht="15" customHeight="1" x14ac:dyDescent="0.25">
      <c r="A233" s="202" t="s">
        <v>361</v>
      </c>
      <c r="B233" s="157" t="s">
        <v>350</v>
      </c>
      <c r="C233" s="158" t="s">
        <v>37</v>
      </c>
      <c r="D233" s="158" t="s">
        <v>38</v>
      </c>
      <c r="E233" s="158" t="s">
        <v>345</v>
      </c>
      <c r="F233" s="158" t="s">
        <v>20</v>
      </c>
      <c r="G233" s="158" t="s">
        <v>346</v>
      </c>
      <c r="H233" s="158" t="s">
        <v>347</v>
      </c>
      <c r="I233" s="202" t="s">
        <v>361</v>
      </c>
      <c r="J233" s="157" t="str">
        <f>B233</f>
        <v>Expérimental</v>
      </c>
      <c r="K233" s="158" t="s">
        <v>37</v>
      </c>
      <c r="L233" s="158" t="s">
        <v>38</v>
      </c>
      <c r="M233" s="158" t="s">
        <v>345</v>
      </c>
      <c r="N233" s="158" t="s">
        <v>20</v>
      </c>
      <c r="O233" s="158" t="s">
        <v>346</v>
      </c>
      <c r="P233" s="158" t="s">
        <v>347</v>
      </c>
      <c r="Q233" s="202" t="s">
        <v>361</v>
      </c>
      <c r="R233" s="157" t="str">
        <f>B233</f>
        <v>Expérimental</v>
      </c>
      <c r="S233" s="158" t="s">
        <v>37</v>
      </c>
      <c r="T233" s="158" t="s">
        <v>38</v>
      </c>
      <c r="U233" s="158" t="s">
        <v>345</v>
      </c>
      <c r="V233" s="158" t="s">
        <v>20</v>
      </c>
      <c r="W233" s="158" t="s">
        <v>346</v>
      </c>
      <c r="X233" s="158" t="s">
        <v>347</v>
      </c>
    </row>
    <row r="234" spans="1:24" ht="15" customHeight="1" x14ac:dyDescent="0.25">
      <c r="A234" s="203"/>
      <c r="B234" s="159"/>
      <c r="C234" s="160"/>
      <c r="D234" s="161"/>
      <c r="E234" s="162"/>
      <c r="F234" s="162"/>
      <c r="G234" s="163"/>
      <c r="H234" s="163"/>
      <c r="I234" s="203"/>
      <c r="J234" s="111" t="s">
        <v>63</v>
      </c>
      <c r="K234" s="150" t="s">
        <v>160</v>
      </c>
      <c r="L234" s="151" t="s">
        <v>161</v>
      </c>
      <c r="M234" s="149" t="s">
        <v>156</v>
      </c>
      <c r="N234" s="149" t="s">
        <v>303</v>
      </c>
      <c r="O234" s="152" t="s">
        <v>78</v>
      </c>
      <c r="P234" s="152" t="s">
        <v>148</v>
      </c>
      <c r="Q234" s="203"/>
      <c r="R234" s="111" t="s">
        <v>7</v>
      </c>
      <c r="S234" s="150" t="s">
        <v>160</v>
      </c>
      <c r="T234" s="151" t="s">
        <v>161</v>
      </c>
      <c r="U234" s="149" t="s">
        <v>156</v>
      </c>
      <c r="V234" s="149" t="s">
        <v>303</v>
      </c>
      <c r="W234" s="152" t="s">
        <v>78</v>
      </c>
      <c r="X234" s="152" t="s">
        <v>148</v>
      </c>
    </row>
    <row r="235" spans="1:24" ht="15" customHeight="1" x14ac:dyDescent="0.25">
      <c r="A235" s="203"/>
      <c r="B235" s="164"/>
      <c r="C235" s="165"/>
      <c r="D235" s="166"/>
      <c r="E235" s="165"/>
      <c r="F235" s="165"/>
      <c r="G235" s="165"/>
      <c r="H235" s="165"/>
      <c r="I235" s="203"/>
      <c r="J235" s="154" t="s">
        <v>145</v>
      </c>
      <c r="K235" s="116" t="e">
        <f>Q177</f>
        <v>#REF!</v>
      </c>
      <c r="L235" s="153" t="e">
        <f>(#REF!-$K$208-$K$209-$K$210)/(#REF!-$K$208-$K$209-$K$210)</f>
        <v>#REF!</v>
      </c>
      <c r="M235" s="116" t="e">
        <f t="shared" ref="M235:M238" si="166">K235*L235</f>
        <v>#REF!</v>
      </c>
      <c r="N235" s="116" t="e">
        <f>(G177+H177+I177+M177)/(K235+K237+K238)*K235</f>
        <v>#REF!</v>
      </c>
      <c r="O235" s="116" t="e">
        <f t="shared" ref="O235:O238" si="167">M235+N235</f>
        <v>#REF!</v>
      </c>
      <c r="P235" s="116" t="e">
        <f t="shared" ref="P235:P238" si="168">O235-K235</f>
        <v>#REF!</v>
      </c>
      <c r="Q235" s="203"/>
      <c r="R235" s="154" t="s">
        <v>145</v>
      </c>
      <c r="S235" s="116" t="e">
        <f t="shared" ref="S235:S238" si="169">C235+K235</f>
        <v>#REF!</v>
      </c>
      <c r="T235" s="153" t="e">
        <f>IF(S235=0,0,U235/S235)</f>
        <v>#REF!</v>
      </c>
      <c r="U235" s="116" t="e">
        <f t="shared" ref="U235:U238" si="170">E235+M235</f>
        <v>#REF!</v>
      </c>
      <c r="V235" s="116" t="e">
        <f t="shared" ref="V235:V238" si="171">F235+N235</f>
        <v>#REF!</v>
      </c>
      <c r="W235" s="116" t="e">
        <f t="shared" ref="W235:W238" si="172">U235+V235</f>
        <v>#REF!</v>
      </c>
      <c r="X235" s="116" t="e">
        <f t="shared" ref="X235:X238" si="173">W235-S235</f>
        <v>#REF!</v>
      </c>
    </row>
    <row r="236" spans="1:24" ht="15" customHeight="1" x14ac:dyDescent="0.25">
      <c r="A236" s="203"/>
      <c r="B236" s="167"/>
      <c r="C236" s="165"/>
      <c r="D236" s="166"/>
      <c r="E236" s="165"/>
      <c r="F236" s="165"/>
      <c r="G236" s="165"/>
      <c r="H236" s="165"/>
      <c r="I236" s="203"/>
      <c r="J236" s="134" t="s">
        <v>50</v>
      </c>
      <c r="K236" s="116">
        <f>R177</f>
        <v>0</v>
      </c>
      <c r="L236" s="153" t="e">
        <f>(#REF!-$K$208-$K$209-$K$210)/(#REF!-$K$208-$K$209-$K$210)</f>
        <v>#REF!</v>
      </c>
      <c r="M236" s="116" t="e">
        <f t="shared" si="166"/>
        <v>#REF!</v>
      </c>
      <c r="N236" s="116">
        <f>K177</f>
        <v>0</v>
      </c>
      <c r="O236" s="116" t="e">
        <f t="shared" si="167"/>
        <v>#REF!</v>
      </c>
      <c r="P236" s="116" t="e">
        <f t="shared" si="168"/>
        <v>#REF!</v>
      </c>
      <c r="Q236" s="203"/>
      <c r="R236" s="134" t="s">
        <v>50</v>
      </c>
      <c r="S236" s="116">
        <f t="shared" si="169"/>
        <v>0</v>
      </c>
      <c r="T236" s="153">
        <f t="shared" ref="T236:T239" si="174">IF(S236=0,0,U236/S236)</f>
        <v>0</v>
      </c>
      <c r="U236" s="116" t="e">
        <f t="shared" si="170"/>
        <v>#REF!</v>
      </c>
      <c r="V236" s="116">
        <f t="shared" si="171"/>
        <v>0</v>
      </c>
      <c r="W236" s="116" t="e">
        <f t="shared" si="172"/>
        <v>#REF!</v>
      </c>
      <c r="X236" s="116" t="e">
        <f t="shared" si="173"/>
        <v>#REF!</v>
      </c>
    </row>
    <row r="237" spans="1:24" ht="15" customHeight="1" x14ac:dyDescent="0.25">
      <c r="A237" s="203"/>
      <c r="B237" s="164"/>
      <c r="C237" s="165"/>
      <c r="D237" s="166"/>
      <c r="E237" s="165"/>
      <c r="F237" s="165"/>
      <c r="G237" s="165"/>
      <c r="H237" s="165"/>
      <c r="I237" s="203"/>
      <c r="J237" s="154" t="s">
        <v>54</v>
      </c>
      <c r="K237" s="116" t="e">
        <f>U177</f>
        <v>#REF!</v>
      </c>
      <c r="L237" s="153" t="e">
        <f>(#REF!-$K$208-$K$209-$K$210)/(#REF!-$K$208-$K$209-$K$210)</f>
        <v>#REF!</v>
      </c>
      <c r="M237" s="116" t="e">
        <f t="shared" si="166"/>
        <v>#REF!</v>
      </c>
      <c r="N237" s="116" t="e">
        <f>(G177+H177+I177+M177)/(K235+K237+K238)*K237</f>
        <v>#REF!</v>
      </c>
      <c r="O237" s="116" t="e">
        <f t="shared" si="167"/>
        <v>#REF!</v>
      </c>
      <c r="P237" s="116" t="e">
        <f t="shared" si="168"/>
        <v>#REF!</v>
      </c>
      <c r="Q237" s="203"/>
      <c r="R237" s="154" t="s">
        <v>54</v>
      </c>
      <c r="S237" s="116" t="e">
        <f t="shared" si="169"/>
        <v>#REF!</v>
      </c>
      <c r="T237" s="153" t="e">
        <f t="shared" si="174"/>
        <v>#REF!</v>
      </c>
      <c r="U237" s="116" t="e">
        <f t="shared" si="170"/>
        <v>#REF!</v>
      </c>
      <c r="V237" s="116" t="e">
        <f t="shared" si="171"/>
        <v>#REF!</v>
      </c>
      <c r="W237" s="116" t="e">
        <f t="shared" si="172"/>
        <v>#REF!</v>
      </c>
      <c r="X237" s="116" t="e">
        <f t="shared" si="173"/>
        <v>#REF!</v>
      </c>
    </row>
    <row r="238" spans="1:24" ht="15" customHeight="1" x14ac:dyDescent="0.25">
      <c r="A238" s="203"/>
      <c r="B238" s="164"/>
      <c r="C238" s="165"/>
      <c r="D238" s="166"/>
      <c r="E238" s="165"/>
      <c r="F238" s="165"/>
      <c r="G238" s="165"/>
      <c r="H238" s="165"/>
      <c r="I238" s="203"/>
      <c r="J238" s="154" t="s">
        <v>142</v>
      </c>
      <c r="K238" s="116" t="e">
        <f>V177</f>
        <v>#REF!</v>
      </c>
      <c r="L238" s="153" t="e">
        <f>(#REF!-$K$208-$K$209-$K$210)/(#REF!-$K$208-$K$209-$K$210)</f>
        <v>#REF!</v>
      </c>
      <c r="M238" s="116" t="e">
        <f t="shared" si="166"/>
        <v>#REF!</v>
      </c>
      <c r="N238" s="116" t="e">
        <f>(G177+H177+I177+M177)/(K235+K237+K238)*K238</f>
        <v>#REF!</v>
      </c>
      <c r="O238" s="116" t="e">
        <f t="shared" si="167"/>
        <v>#REF!</v>
      </c>
      <c r="P238" s="116" t="e">
        <f t="shared" si="168"/>
        <v>#REF!</v>
      </c>
      <c r="Q238" s="203"/>
      <c r="R238" s="154" t="s">
        <v>142</v>
      </c>
      <c r="S238" s="116" t="e">
        <f t="shared" si="169"/>
        <v>#REF!</v>
      </c>
      <c r="T238" s="153" t="e">
        <f t="shared" si="174"/>
        <v>#REF!</v>
      </c>
      <c r="U238" s="116" t="e">
        <f t="shared" si="170"/>
        <v>#REF!</v>
      </c>
      <c r="V238" s="116" t="e">
        <f t="shared" si="171"/>
        <v>#REF!</v>
      </c>
      <c r="W238" s="116" t="e">
        <f t="shared" si="172"/>
        <v>#REF!</v>
      </c>
      <c r="X238" s="116" t="e">
        <f t="shared" si="173"/>
        <v>#REF!</v>
      </c>
    </row>
    <row r="239" spans="1:24" ht="15" customHeight="1" x14ac:dyDescent="0.25">
      <c r="A239" s="203"/>
      <c r="B239" s="159"/>
      <c r="C239" s="168"/>
      <c r="D239" s="169"/>
      <c r="E239" s="168"/>
      <c r="F239" s="168"/>
      <c r="G239" s="168"/>
      <c r="H239" s="168"/>
      <c r="I239" s="203"/>
      <c r="J239" s="111" t="s">
        <v>163</v>
      </c>
      <c r="K239" s="125" t="e">
        <f>SUM(K235:K238)</f>
        <v>#REF!</v>
      </c>
      <c r="L239" s="155" t="e">
        <f t="shared" ref="L239" si="175">IF(K239=0,0,M239/K239)</f>
        <v>#REF!</v>
      </c>
      <c r="M239" s="125" t="e">
        <f>SUM(M235:M238)</f>
        <v>#REF!</v>
      </c>
      <c r="N239" s="125" t="e">
        <f>SUM(N235:N238)</f>
        <v>#REF!</v>
      </c>
      <c r="O239" s="125" t="e">
        <f>SUM(O235:O238)</f>
        <v>#REF!</v>
      </c>
      <c r="P239" s="125" t="e">
        <f>SUM(P235:P238)</f>
        <v>#REF!</v>
      </c>
      <c r="Q239" s="203"/>
      <c r="R239" s="111" t="s">
        <v>163</v>
      </c>
      <c r="S239" s="125" t="e">
        <f>SUM(S235:S238)</f>
        <v>#REF!</v>
      </c>
      <c r="T239" s="155" t="e">
        <f t="shared" si="174"/>
        <v>#REF!</v>
      </c>
      <c r="U239" s="125" t="e">
        <f>SUM(U235:U238)</f>
        <v>#REF!</v>
      </c>
      <c r="V239" s="125" t="e">
        <f>SUM(V235:V238)</f>
        <v>#REF!</v>
      </c>
      <c r="W239" s="125" t="e">
        <f>SUM(W235:W238)</f>
        <v>#REF!</v>
      </c>
      <c r="X239" s="125" t="e">
        <f>SUM(X235:X238)</f>
        <v>#REF!</v>
      </c>
    </row>
    <row r="240" spans="1:24" ht="15" customHeight="1" x14ac:dyDescent="0.25">
      <c r="A240" s="203"/>
      <c r="B240" s="362"/>
      <c r="C240" s="362"/>
      <c r="D240" s="362"/>
      <c r="E240" s="362"/>
      <c r="F240" s="362"/>
      <c r="G240" s="362"/>
      <c r="H240" s="362"/>
      <c r="I240" s="203"/>
      <c r="J240" s="361" t="s">
        <v>299</v>
      </c>
      <c r="K240" s="361"/>
      <c r="L240" s="361"/>
      <c r="M240" s="361"/>
      <c r="N240" s="361"/>
      <c r="O240" s="361"/>
      <c r="P240" s="361"/>
      <c r="Q240" s="203"/>
      <c r="R240" s="363" t="s">
        <v>63</v>
      </c>
      <c r="S240" s="363"/>
      <c r="T240" s="363"/>
      <c r="U240" s="363"/>
      <c r="V240" s="363"/>
      <c r="W240" s="363"/>
      <c r="X240" s="363"/>
    </row>
    <row r="241" spans="1:24" ht="15" customHeight="1" x14ac:dyDescent="0.25">
      <c r="A241" s="203"/>
      <c r="I241" s="203"/>
      <c r="Q241" s="203"/>
    </row>
    <row r="242" spans="1:24" ht="15" customHeight="1" x14ac:dyDescent="0.25">
      <c r="A242" s="202" t="s">
        <v>362</v>
      </c>
      <c r="B242" s="157" t="s">
        <v>13</v>
      </c>
      <c r="C242" s="158" t="s">
        <v>37</v>
      </c>
      <c r="D242" s="158" t="s">
        <v>38</v>
      </c>
      <c r="E242" s="158" t="s">
        <v>345</v>
      </c>
      <c r="F242" s="158" t="s">
        <v>20</v>
      </c>
      <c r="G242" s="158" t="s">
        <v>346</v>
      </c>
      <c r="H242" s="158" t="s">
        <v>347</v>
      </c>
      <c r="I242" s="202" t="s">
        <v>362</v>
      </c>
      <c r="J242" s="122" t="str">
        <f>B242</f>
        <v>Ressources</v>
      </c>
      <c r="K242" s="156" t="s">
        <v>37</v>
      </c>
      <c r="L242" s="156" t="s">
        <v>38</v>
      </c>
      <c r="M242" s="156" t="s">
        <v>345</v>
      </c>
      <c r="N242" s="156" t="s">
        <v>20</v>
      </c>
      <c r="O242" s="156" t="s">
        <v>346</v>
      </c>
      <c r="P242" s="156" t="s">
        <v>347</v>
      </c>
      <c r="Q242" s="202" t="s">
        <v>362</v>
      </c>
      <c r="R242" s="122" t="str">
        <f>B242</f>
        <v>Ressources</v>
      </c>
      <c r="S242" s="156" t="s">
        <v>37</v>
      </c>
      <c r="T242" s="156" t="s">
        <v>38</v>
      </c>
      <c r="U242" s="156" t="s">
        <v>345</v>
      </c>
      <c r="V242" s="156" t="s">
        <v>20</v>
      </c>
      <c r="W242" s="156" t="s">
        <v>346</v>
      </c>
      <c r="X242" s="156" t="s">
        <v>347</v>
      </c>
    </row>
    <row r="243" spans="1:24" ht="15" customHeight="1" x14ac:dyDescent="0.25">
      <c r="A243" s="203"/>
      <c r="B243" s="111" t="s">
        <v>62</v>
      </c>
      <c r="C243" s="150" t="s">
        <v>160</v>
      </c>
      <c r="D243" s="151" t="s">
        <v>161</v>
      </c>
      <c r="E243" s="149" t="s">
        <v>156</v>
      </c>
      <c r="F243" s="149" t="s">
        <v>303</v>
      </c>
      <c r="G243" s="152" t="s">
        <v>78</v>
      </c>
      <c r="H243" s="152" t="s">
        <v>148</v>
      </c>
      <c r="I243" s="203"/>
      <c r="J243" s="111" t="s">
        <v>63</v>
      </c>
      <c r="K243" s="150" t="s">
        <v>160</v>
      </c>
      <c r="L243" s="151" t="s">
        <v>161</v>
      </c>
      <c r="M243" s="149" t="s">
        <v>156</v>
      </c>
      <c r="N243" s="149" t="s">
        <v>303</v>
      </c>
      <c r="O243" s="152" t="s">
        <v>78</v>
      </c>
      <c r="P243" s="152" t="s">
        <v>148</v>
      </c>
      <c r="Q243" s="203"/>
      <c r="R243" s="111" t="s">
        <v>7</v>
      </c>
      <c r="S243" s="150" t="s">
        <v>160</v>
      </c>
      <c r="T243" s="151" t="s">
        <v>161</v>
      </c>
      <c r="U243" s="149" t="s">
        <v>156</v>
      </c>
      <c r="V243" s="149" t="s">
        <v>303</v>
      </c>
      <c r="W243" s="152" t="s">
        <v>78</v>
      </c>
      <c r="X243" s="152" t="s">
        <v>148</v>
      </c>
    </row>
    <row r="244" spans="1:24" ht="15" customHeight="1" x14ac:dyDescent="0.25">
      <c r="A244" s="203"/>
      <c r="B244" s="154" t="s">
        <v>145</v>
      </c>
      <c r="C244" s="116" t="e">
        <f>Q154-Q157</f>
        <v>#REF!</v>
      </c>
      <c r="D244" s="153" t="e">
        <f>#REF!/#REF!</f>
        <v>#REF!</v>
      </c>
      <c r="E244" s="116" t="e">
        <f t="shared" ref="E244:E247" si="176">C244*D244</f>
        <v>#REF!</v>
      </c>
      <c r="F244" s="116" t="e">
        <f>(G154+H154+I154+M154-G157-H157-I157-M157)/(C244+C246+C247)*C244</f>
        <v>#REF!</v>
      </c>
      <c r="G244" s="116" t="e">
        <f t="shared" ref="G244:G247" si="177">E244+F244</f>
        <v>#REF!</v>
      </c>
      <c r="H244" s="116" t="e">
        <f t="shared" ref="H244:H247" si="178">G244-C244</f>
        <v>#REF!</v>
      </c>
      <c r="I244" s="203"/>
      <c r="J244" s="154" t="s">
        <v>145</v>
      </c>
      <c r="K244" s="116" t="e">
        <f>Q180</f>
        <v>#REF!</v>
      </c>
      <c r="L244" s="153" t="e">
        <f>(#REF!-$K$208-$K$209-$K$210)/(#REF!-$K$208-$K$209-$K$210)</f>
        <v>#REF!</v>
      </c>
      <c r="M244" s="116" t="e">
        <f t="shared" ref="M244:M247" si="179">K244*L244</f>
        <v>#REF!</v>
      </c>
      <c r="N244" s="116" t="e">
        <f>(G180+H180+I180+M180)/(K244+K246+K247)*K244</f>
        <v>#REF!</v>
      </c>
      <c r="O244" s="116" t="e">
        <f t="shared" ref="O244:O247" si="180">M244+N244</f>
        <v>#REF!</v>
      </c>
      <c r="P244" s="116" t="e">
        <f t="shared" ref="P244:P247" si="181">O244-K244</f>
        <v>#REF!</v>
      </c>
      <c r="Q244" s="203"/>
      <c r="R244" s="154" t="s">
        <v>145</v>
      </c>
      <c r="S244" s="116" t="e">
        <f t="shared" ref="S244:S247" si="182">C244+K244</f>
        <v>#REF!</v>
      </c>
      <c r="T244" s="153" t="e">
        <f>IF(S244=0,0,U244/S244)</f>
        <v>#REF!</v>
      </c>
      <c r="U244" s="116" t="e">
        <f t="shared" ref="U244:U247" si="183">E244+M244</f>
        <v>#REF!</v>
      </c>
      <c r="V244" s="116" t="e">
        <f t="shared" ref="V244:V247" si="184">F244+N244</f>
        <v>#REF!</v>
      </c>
      <c r="W244" s="116" t="e">
        <f t="shared" ref="W244:W247" si="185">U244+V244</f>
        <v>#REF!</v>
      </c>
      <c r="X244" s="116" t="e">
        <f t="shared" ref="X244:X247" si="186">W244-S244</f>
        <v>#REF!</v>
      </c>
    </row>
    <row r="245" spans="1:24" ht="15" customHeight="1" x14ac:dyDescent="0.25">
      <c r="A245" s="203"/>
      <c r="B245" s="134" t="s">
        <v>50</v>
      </c>
      <c r="C245" s="116">
        <f>R154-R157</f>
        <v>11250</v>
      </c>
      <c r="D245" s="153" t="e">
        <f>#REF!/#REF!</f>
        <v>#REF!</v>
      </c>
      <c r="E245" s="116" t="e">
        <f t="shared" si="176"/>
        <v>#REF!</v>
      </c>
      <c r="F245" s="116">
        <f>K154-K157</f>
        <v>11250</v>
      </c>
      <c r="G245" s="116" t="e">
        <f t="shared" si="177"/>
        <v>#REF!</v>
      </c>
      <c r="H245" s="116" t="e">
        <f t="shared" si="178"/>
        <v>#REF!</v>
      </c>
      <c r="I245" s="203"/>
      <c r="J245" s="134" t="s">
        <v>50</v>
      </c>
      <c r="K245" s="116">
        <f>R180</f>
        <v>0</v>
      </c>
      <c r="L245" s="153" t="e">
        <f>(#REF!-$K$208-$K$209-$K$210)/(#REF!-$K$208-$K$209-$K$210)</f>
        <v>#REF!</v>
      </c>
      <c r="M245" s="116" t="e">
        <f t="shared" si="179"/>
        <v>#REF!</v>
      </c>
      <c r="N245" s="116">
        <f>K180</f>
        <v>0</v>
      </c>
      <c r="O245" s="116" t="e">
        <f t="shared" si="180"/>
        <v>#REF!</v>
      </c>
      <c r="P245" s="116" t="e">
        <f t="shared" si="181"/>
        <v>#REF!</v>
      </c>
      <c r="Q245" s="203"/>
      <c r="R245" s="134" t="s">
        <v>50</v>
      </c>
      <c r="S245" s="116">
        <f t="shared" si="182"/>
        <v>11250</v>
      </c>
      <c r="T245" s="153" t="e">
        <f t="shared" ref="T245:T248" si="187">IF(S245=0,0,U245/S245)</f>
        <v>#REF!</v>
      </c>
      <c r="U245" s="116" t="e">
        <f t="shared" si="183"/>
        <v>#REF!</v>
      </c>
      <c r="V245" s="116">
        <f t="shared" si="184"/>
        <v>11250</v>
      </c>
      <c r="W245" s="116" t="e">
        <f t="shared" si="185"/>
        <v>#REF!</v>
      </c>
      <c r="X245" s="116" t="e">
        <f t="shared" si="186"/>
        <v>#REF!</v>
      </c>
    </row>
    <row r="246" spans="1:24" ht="15" customHeight="1" x14ac:dyDescent="0.25">
      <c r="A246" s="203"/>
      <c r="B246" s="154" t="s">
        <v>54</v>
      </c>
      <c r="C246" s="116" t="e">
        <f>U154-U157</f>
        <v>#REF!</v>
      </c>
      <c r="D246" s="153" t="e">
        <f>#REF!/#REF!</f>
        <v>#REF!</v>
      </c>
      <c r="E246" s="116" t="e">
        <f t="shared" si="176"/>
        <v>#REF!</v>
      </c>
      <c r="F246" s="116" t="e">
        <f>(G154+H154+I154+M154-G157-H157-I157-M157)/(C244+C246+C247)*C246</f>
        <v>#REF!</v>
      </c>
      <c r="G246" s="116" t="e">
        <f t="shared" si="177"/>
        <v>#REF!</v>
      </c>
      <c r="H246" s="116" t="e">
        <f t="shared" si="178"/>
        <v>#REF!</v>
      </c>
      <c r="I246" s="203"/>
      <c r="J246" s="154" t="s">
        <v>54</v>
      </c>
      <c r="K246" s="116" t="e">
        <f>U180</f>
        <v>#REF!</v>
      </c>
      <c r="L246" s="153" t="e">
        <f>(#REF!-$K$208-$K$209-$K$210)/(#REF!-$K$208-$K$209-$K$210)</f>
        <v>#REF!</v>
      </c>
      <c r="M246" s="116" t="e">
        <f t="shared" si="179"/>
        <v>#REF!</v>
      </c>
      <c r="N246" s="116" t="e">
        <f>(G180+H180+I180+M180)/(K244+K246+K247)*K246</f>
        <v>#REF!</v>
      </c>
      <c r="O246" s="116" t="e">
        <f t="shared" si="180"/>
        <v>#REF!</v>
      </c>
      <c r="P246" s="116" t="e">
        <f t="shared" si="181"/>
        <v>#REF!</v>
      </c>
      <c r="Q246" s="203"/>
      <c r="R246" s="154" t="s">
        <v>54</v>
      </c>
      <c r="S246" s="116" t="e">
        <f t="shared" si="182"/>
        <v>#REF!</v>
      </c>
      <c r="T246" s="153" t="e">
        <f t="shared" si="187"/>
        <v>#REF!</v>
      </c>
      <c r="U246" s="116" t="e">
        <f t="shared" si="183"/>
        <v>#REF!</v>
      </c>
      <c r="V246" s="116" t="e">
        <f t="shared" si="184"/>
        <v>#REF!</v>
      </c>
      <c r="W246" s="116" t="e">
        <f t="shared" si="185"/>
        <v>#REF!</v>
      </c>
      <c r="X246" s="116" t="e">
        <f t="shared" si="186"/>
        <v>#REF!</v>
      </c>
    </row>
    <row r="247" spans="1:24" ht="15" customHeight="1" x14ac:dyDescent="0.25">
      <c r="A247" s="203"/>
      <c r="B247" s="154" t="s">
        <v>142</v>
      </c>
      <c r="C247" s="116" t="e">
        <f>V154-V157</f>
        <v>#REF!</v>
      </c>
      <c r="D247" s="153" t="e">
        <f>#REF!/#REF!</f>
        <v>#REF!</v>
      </c>
      <c r="E247" s="116" t="e">
        <f t="shared" si="176"/>
        <v>#REF!</v>
      </c>
      <c r="F247" s="116" t="e">
        <f>(G154+H154+I154+M154-G157-H157-I157-M157)/(C244+C246+C247)*C247</f>
        <v>#REF!</v>
      </c>
      <c r="G247" s="116" t="e">
        <f t="shared" si="177"/>
        <v>#REF!</v>
      </c>
      <c r="H247" s="116" t="e">
        <f t="shared" si="178"/>
        <v>#REF!</v>
      </c>
      <c r="I247" s="203"/>
      <c r="J247" s="154" t="s">
        <v>142</v>
      </c>
      <c r="K247" s="116" t="e">
        <f>V180</f>
        <v>#REF!</v>
      </c>
      <c r="L247" s="153" t="e">
        <f>(#REF!-$K$208-$K$209-$K$210)/(#REF!-$K$208-$K$209-$K$210)</f>
        <v>#REF!</v>
      </c>
      <c r="M247" s="116" t="e">
        <f t="shared" si="179"/>
        <v>#REF!</v>
      </c>
      <c r="N247" s="116" t="e">
        <f>(G180+H180+I180+M180)/(K244+K246+K247)*K247</f>
        <v>#REF!</v>
      </c>
      <c r="O247" s="116" t="e">
        <f t="shared" si="180"/>
        <v>#REF!</v>
      </c>
      <c r="P247" s="116" t="e">
        <f t="shared" si="181"/>
        <v>#REF!</v>
      </c>
      <c r="Q247" s="203"/>
      <c r="R247" s="154" t="s">
        <v>142</v>
      </c>
      <c r="S247" s="116" t="e">
        <f t="shared" si="182"/>
        <v>#REF!</v>
      </c>
      <c r="T247" s="153" t="e">
        <f t="shared" si="187"/>
        <v>#REF!</v>
      </c>
      <c r="U247" s="116" t="e">
        <f t="shared" si="183"/>
        <v>#REF!</v>
      </c>
      <c r="V247" s="116" t="e">
        <f t="shared" si="184"/>
        <v>#REF!</v>
      </c>
      <c r="W247" s="116" t="e">
        <f t="shared" si="185"/>
        <v>#REF!</v>
      </c>
      <c r="X247" s="116" t="e">
        <f t="shared" si="186"/>
        <v>#REF!</v>
      </c>
    </row>
    <row r="248" spans="1:24" ht="15" customHeight="1" x14ac:dyDescent="0.25">
      <c r="A248" s="203"/>
      <c r="B248" s="111" t="s">
        <v>163</v>
      </c>
      <c r="C248" s="125" t="e">
        <f>SUM(C244:C247)</f>
        <v>#REF!</v>
      </c>
      <c r="D248" s="155" t="e">
        <f t="shared" ref="D248" si="188">IF(C248=0,0,E248/C248)</f>
        <v>#REF!</v>
      </c>
      <c r="E248" s="125" t="e">
        <f>SUM(E244:E247)</f>
        <v>#REF!</v>
      </c>
      <c r="F248" s="125" t="e">
        <f>SUM(F244:F247)</f>
        <v>#REF!</v>
      </c>
      <c r="G248" s="125" t="e">
        <f>SUM(G244:G247)</f>
        <v>#REF!</v>
      </c>
      <c r="H248" s="125" t="e">
        <f>SUM(H244:H247)</f>
        <v>#REF!</v>
      </c>
      <c r="I248" s="203"/>
      <c r="J248" s="111" t="s">
        <v>163</v>
      </c>
      <c r="K248" s="125" t="e">
        <f>SUM(K244:K247)</f>
        <v>#REF!</v>
      </c>
      <c r="L248" s="155" t="e">
        <f t="shared" ref="L248" si="189">IF(K248=0,0,M248/K248)</f>
        <v>#REF!</v>
      </c>
      <c r="M248" s="125" t="e">
        <f>SUM(M244:M247)</f>
        <v>#REF!</v>
      </c>
      <c r="N248" s="125" t="e">
        <f>SUM(N244:N247)</f>
        <v>#REF!</v>
      </c>
      <c r="O248" s="125" t="e">
        <f>SUM(O244:O247)</f>
        <v>#REF!</v>
      </c>
      <c r="P248" s="125" t="e">
        <f>SUM(P244:P247)</f>
        <v>#REF!</v>
      </c>
      <c r="Q248" s="203"/>
      <c r="R248" s="111" t="s">
        <v>163</v>
      </c>
      <c r="S248" s="125" t="e">
        <f>SUM(S244:S247)</f>
        <v>#REF!</v>
      </c>
      <c r="T248" s="155" t="e">
        <f t="shared" si="187"/>
        <v>#REF!</v>
      </c>
      <c r="U248" s="125" t="e">
        <f>SUM(U244:U247)</f>
        <v>#REF!</v>
      </c>
      <c r="V248" s="125" t="e">
        <f>SUM(V244:V247)</f>
        <v>#REF!</v>
      </c>
      <c r="W248" s="125" t="e">
        <f>SUM(W244:W247)</f>
        <v>#REF!</v>
      </c>
      <c r="X248" s="125" t="e">
        <f>SUM(X244:X247)</f>
        <v>#REF!</v>
      </c>
    </row>
    <row r="249" spans="1:24" ht="15" customHeight="1" x14ac:dyDescent="0.25">
      <c r="A249" s="203"/>
      <c r="B249" s="362" t="s">
        <v>296</v>
      </c>
      <c r="C249" s="362"/>
      <c r="D249" s="362"/>
      <c r="E249" s="362"/>
      <c r="F249" s="362"/>
      <c r="G249" s="362"/>
      <c r="H249" s="362"/>
      <c r="I249" s="203"/>
      <c r="J249" s="361" t="s">
        <v>302</v>
      </c>
      <c r="K249" s="361"/>
      <c r="L249" s="361"/>
      <c r="M249" s="361"/>
      <c r="N249" s="361"/>
      <c r="O249" s="361"/>
      <c r="P249" s="361"/>
      <c r="Q249" s="203"/>
      <c r="R249" s="363" t="s">
        <v>310</v>
      </c>
      <c r="S249" s="363"/>
      <c r="T249" s="363"/>
      <c r="U249" s="363"/>
      <c r="V249" s="363"/>
      <c r="W249" s="363"/>
      <c r="X249" s="363"/>
    </row>
    <row r="250" spans="1:24" ht="15" customHeight="1" x14ac:dyDescent="0.25">
      <c r="A250" s="203"/>
      <c r="I250" s="203"/>
      <c r="Q250" s="203"/>
    </row>
    <row r="251" spans="1:24" ht="15" customHeight="1" x14ac:dyDescent="0.25">
      <c r="A251" s="202" t="s">
        <v>363</v>
      </c>
      <c r="B251" s="157" t="s">
        <v>351</v>
      </c>
      <c r="C251" s="158" t="s">
        <v>37</v>
      </c>
      <c r="D251" s="158" t="s">
        <v>38</v>
      </c>
      <c r="E251" s="158" t="s">
        <v>345</v>
      </c>
      <c r="F251" s="158" t="s">
        <v>20</v>
      </c>
      <c r="G251" s="158" t="s">
        <v>346</v>
      </c>
      <c r="H251" s="158" t="s">
        <v>347</v>
      </c>
      <c r="I251" s="202" t="s">
        <v>363</v>
      </c>
      <c r="J251" s="157" t="str">
        <f>B251</f>
        <v>Conso</v>
      </c>
      <c r="K251" s="158" t="s">
        <v>37</v>
      </c>
      <c r="L251" s="158" t="s">
        <v>38</v>
      </c>
      <c r="M251" s="158" t="s">
        <v>345</v>
      </c>
      <c r="N251" s="158" t="s">
        <v>20</v>
      </c>
      <c r="O251" s="158" t="s">
        <v>346</v>
      </c>
      <c r="P251" s="158" t="s">
        <v>347</v>
      </c>
      <c r="Q251" s="202" t="s">
        <v>363</v>
      </c>
      <c r="R251" s="157" t="str">
        <f>B251</f>
        <v>Conso</v>
      </c>
      <c r="S251" s="158" t="s">
        <v>37</v>
      </c>
      <c r="T251" s="158" t="s">
        <v>38</v>
      </c>
      <c r="U251" s="158" t="s">
        <v>345</v>
      </c>
      <c r="V251" s="158" t="s">
        <v>20</v>
      </c>
      <c r="W251" s="158" t="s">
        <v>346</v>
      </c>
      <c r="X251" s="158" t="s">
        <v>347</v>
      </c>
    </row>
    <row r="252" spans="1:24" ht="15" customHeight="1" x14ac:dyDescent="0.25">
      <c r="A252" s="203"/>
      <c r="B252" s="111" t="s">
        <v>62</v>
      </c>
      <c r="C252" s="150" t="s">
        <v>160</v>
      </c>
      <c r="D252" s="151" t="s">
        <v>161</v>
      </c>
      <c r="E252" s="149" t="s">
        <v>156</v>
      </c>
      <c r="F252" s="149" t="s">
        <v>303</v>
      </c>
      <c r="G252" s="152" t="s">
        <v>78</v>
      </c>
      <c r="H252" s="152" t="s">
        <v>148</v>
      </c>
      <c r="I252" s="203"/>
      <c r="J252" s="111" t="s">
        <v>63</v>
      </c>
      <c r="K252" s="150" t="s">
        <v>160</v>
      </c>
      <c r="L252" s="151" t="s">
        <v>161</v>
      </c>
      <c r="M252" s="149" t="s">
        <v>156</v>
      </c>
      <c r="N252" s="149" t="s">
        <v>303</v>
      </c>
      <c r="O252" s="152" t="s">
        <v>78</v>
      </c>
      <c r="P252" s="152" t="s">
        <v>148</v>
      </c>
      <c r="Q252" s="203"/>
      <c r="R252" s="111" t="s">
        <v>7</v>
      </c>
      <c r="S252" s="150" t="s">
        <v>160</v>
      </c>
      <c r="T252" s="151" t="s">
        <v>161</v>
      </c>
      <c r="U252" s="149" t="s">
        <v>156</v>
      </c>
      <c r="V252" s="149" t="s">
        <v>303</v>
      </c>
      <c r="W252" s="152" t="s">
        <v>78</v>
      </c>
      <c r="X252" s="152" t="s">
        <v>148</v>
      </c>
    </row>
    <row r="253" spans="1:24" ht="15" customHeight="1" x14ac:dyDescent="0.25">
      <c r="A253" s="203"/>
      <c r="B253" s="135" t="s">
        <v>202</v>
      </c>
      <c r="C253" s="116" t="e">
        <f>C197</f>
        <v>#REF!</v>
      </c>
      <c r="D253" s="153" t="e">
        <f>#REF!/#REF!</f>
        <v>#REF!</v>
      </c>
      <c r="E253" s="116" t="e">
        <f>C253*D253</f>
        <v>#REF!</v>
      </c>
      <c r="F253" s="116" t="e">
        <f>F197</f>
        <v>#REF!</v>
      </c>
      <c r="G253" s="116" t="e">
        <f>E253+F253</f>
        <v>#REF!</v>
      </c>
      <c r="H253" s="116" t="e">
        <f>G253-C253</f>
        <v>#REF!</v>
      </c>
      <c r="I253" s="203"/>
      <c r="J253" s="135" t="s">
        <v>202</v>
      </c>
      <c r="K253" s="116" t="e">
        <f>K197</f>
        <v>#REF!</v>
      </c>
      <c r="L253" s="153" t="e">
        <f>IF(K253=0,0,M253/K253)</f>
        <v>#REF!</v>
      </c>
      <c r="M253" s="116" t="e">
        <f>M197</f>
        <v>#REF!</v>
      </c>
      <c r="N253" s="116" t="e">
        <f>N197</f>
        <v>#REF!</v>
      </c>
      <c r="O253" s="116" t="e">
        <f>M253+N253</f>
        <v>#REF!</v>
      </c>
      <c r="P253" s="116" t="e">
        <f>O253-K253</f>
        <v>#REF!</v>
      </c>
      <c r="Q253" s="203"/>
      <c r="R253" s="135" t="s">
        <v>202</v>
      </c>
      <c r="S253" s="116" t="e">
        <f>C253+K253</f>
        <v>#REF!</v>
      </c>
      <c r="T253" s="153" t="e">
        <f>IF(S253=0,0,U253/S253)</f>
        <v>#REF!</v>
      </c>
      <c r="U253" s="116" t="e">
        <f>E253+M253</f>
        <v>#REF!</v>
      </c>
      <c r="V253" s="116" t="e">
        <f t="shared" ref="V253:V258" si="190">F253+N253</f>
        <v>#REF!</v>
      </c>
      <c r="W253" s="116" t="e">
        <f>U253+V253</f>
        <v>#REF!</v>
      </c>
      <c r="X253" s="116" t="e">
        <f>W253-S253</f>
        <v>#REF!</v>
      </c>
    </row>
    <row r="254" spans="1:24" ht="15" customHeight="1" x14ac:dyDescent="0.25">
      <c r="A254" s="203"/>
      <c r="B254" s="154" t="s">
        <v>145</v>
      </c>
      <c r="C254" s="116" t="e">
        <f>C198+C208+C217+C226+C235+C244</f>
        <v>#REF!</v>
      </c>
      <c r="D254" s="153" t="e">
        <f>#REF!/#REF!</f>
        <v>#REF!</v>
      </c>
      <c r="E254" s="116" t="e">
        <f t="shared" ref="E254:E260" si="191">C254*D254</f>
        <v>#REF!</v>
      </c>
      <c r="F254" s="116" t="e">
        <f>F198+F208+F217+F226+F235+F244</f>
        <v>#REF!</v>
      </c>
      <c r="G254" s="116" t="e">
        <f t="shared" ref="G254:G258" si="192">E254+F254</f>
        <v>#REF!</v>
      </c>
      <c r="H254" s="116" t="e">
        <f t="shared" ref="H254:H258" si="193">G254-C254</f>
        <v>#REF!</v>
      </c>
      <c r="I254" s="203"/>
      <c r="J254" s="154" t="s">
        <v>145</v>
      </c>
      <c r="K254" s="116" t="e">
        <f>K198+K208+K217+K226+K235+K244</f>
        <v>#REF!</v>
      </c>
      <c r="L254" s="153" t="e">
        <f t="shared" ref="L254:L261" si="194">IF(K254=0,0,M254/K254)</f>
        <v>#REF!</v>
      </c>
      <c r="M254" s="116" t="e">
        <f t="shared" ref="M254:N257" si="195">M198+M208+M217+M226+M235+M244</f>
        <v>#REF!</v>
      </c>
      <c r="N254" s="116" t="e">
        <f t="shared" si="195"/>
        <v>#REF!</v>
      </c>
      <c r="O254" s="116" t="e">
        <f t="shared" ref="O254:O258" si="196">M254+N254</f>
        <v>#REF!</v>
      </c>
      <c r="P254" s="116" t="e">
        <f t="shared" ref="P254:P258" si="197">O254-K254</f>
        <v>#REF!</v>
      </c>
      <c r="Q254" s="203"/>
      <c r="R254" s="154" t="s">
        <v>145</v>
      </c>
      <c r="S254" s="116" t="e">
        <f t="shared" ref="S254:S258" si="198">C254+K254</f>
        <v>#REF!</v>
      </c>
      <c r="T254" s="153" t="e">
        <f>IF(S254=0,0,U254/S254)</f>
        <v>#REF!</v>
      </c>
      <c r="U254" s="116" t="e">
        <f t="shared" ref="U254:U258" si="199">E254+M254</f>
        <v>#REF!</v>
      </c>
      <c r="V254" s="116" t="e">
        <f t="shared" si="190"/>
        <v>#REF!</v>
      </c>
      <c r="W254" s="116" t="e">
        <f t="shared" ref="W254:W258" si="200">U254+V254</f>
        <v>#REF!</v>
      </c>
      <c r="X254" s="116" t="e">
        <f t="shared" ref="X254:X258" si="201">W254-S254</f>
        <v>#REF!</v>
      </c>
    </row>
    <row r="255" spans="1:24" ht="15" customHeight="1" x14ac:dyDescent="0.25">
      <c r="A255" s="203"/>
      <c r="B255" s="134" t="s">
        <v>50</v>
      </c>
      <c r="C255" s="116">
        <f>C199+C209+C218+C227+C236+C245</f>
        <v>76650</v>
      </c>
      <c r="D255" s="153" t="e">
        <f>#REF!/#REF!</f>
        <v>#REF!</v>
      </c>
      <c r="E255" s="116" t="e">
        <f t="shared" si="191"/>
        <v>#REF!</v>
      </c>
      <c r="F255" s="116">
        <f>F199+F209+F218+F227+F236+F245</f>
        <v>76650</v>
      </c>
      <c r="G255" s="116" t="e">
        <f t="shared" si="192"/>
        <v>#REF!</v>
      </c>
      <c r="H255" s="116" t="e">
        <f t="shared" si="193"/>
        <v>#REF!</v>
      </c>
      <c r="I255" s="203"/>
      <c r="J255" s="134" t="s">
        <v>50</v>
      </c>
      <c r="K255" s="116">
        <f>K199+K209+K218+K227+K236+K245</f>
        <v>125000</v>
      </c>
      <c r="L255" s="153" t="e">
        <f t="shared" si="194"/>
        <v>#REF!</v>
      </c>
      <c r="M255" s="116" t="e">
        <f t="shared" si="195"/>
        <v>#REF!</v>
      </c>
      <c r="N255" s="116">
        <f t="shared" si="195"/>
        <v>125000</v>
      </c>
      <c r="O255" s="116" t="e">
        <f t="shared" si="196"/>
        <v>#REF!</v>
      </c>
      <c r="P255" s="116" t="e">
        <f t="shared" si="197"/>
        <v>#REF!</v>
      </c>
      <c r="Q255" s="203"/>
      <c r="R255" s="134" t="s">
        <v>50</v>
      </c>
      <c r="S255" s="116">
        <f t="shared" si="198"/>
        <v>201650</v>
      </c>
      <c r="T255" s="153" t="e">
        <f t="shared" ref="T255:T259" si="202">IF(S255=0,0,U255/S255)</f>
        <v>#REF!</v>
      </c>
      <c r="U255" s="116" t="e">
        <f t="shared" si="199"/>
        <v>#REF!</v>
      </c>
      <c r="V255" s="116">
        <f t="shared" si="190"/>
        <v>201650</v>
      </c>
      <c r="W255" s="116" t="e">
        <f t="shared" si="200"/>
        <v>#REF!</v>
      </c>
      <c r="X255" s="116" t="e">
        <f t="shared" si="201"/>
        <v>#REF!</v>
      </c>
    </row>
    <row r="256" spans="1:24" ht="15" customHeight="1" x14ac:dyDescent="0.25">
      <c r="A256" s="203"/>
      <c r="B256" s="154" t="s">
        <v>54</v>
      </c>
      <c r="C256" s="116" t="e">
        <f>C200+C210+C219+C228+C237+C246</f>
        <v>#REF!</v>
      </c>
      <c r="D256" s="153" t="e">
        <f>#REF!/#REF!</f>
        <v>#REF!</v>
      </c>
      <c r="E256" s="116" t="e">
        <f t="shared" si="191"/>
        <v>#REF!</v>
      </c>
      <c r="F256" s="116" t="e">
        <f>F200+F210+F219+F228+F237+F246</f>
        <v>#REF!</v>
      </c>
      <c r="G256" s="116" t="e">
        <f t="shared" si="192"/>
        <v>#REF!</v>
      </c>
      <c r="H256" s="116" t="e">
        <f t="shared" si="193"/>
        <v>#REF!</v>
      </c>
      <c r="I256" s="203"/>
      <c r="J256" s="154" t="s">
        <v>54</v>
      </c>
      <c r="K256" s="116" t="e">
        <f>K200+K210+K219+K228+K237+K246</f>
        <v>#REF!</v>
      </c>
      <c r="L256" s="153" t="e">
        <f t="shared" si="194"/>
        <v>#REF!</v>
      </c>
      <c r="M256" s="116" t="e">
        <f t="shared" si="195"/>
        <v>#REF!</v>
      </c>
      <c r="N256" s="116" t="e">
        <f t="shared" si="195"/>
        <v>#REF!</v>
      </c>
      <c r="O256" s="116" t="e">
        <f t="shared" si="196"/>
        <v>#REF!</v>
      </c>
      <c r="P256" s="116" t="e">
        <f t="shared" si="197"/>
        <v>#REF!</v>
      </c>
      <c r="Q256" s="203"/>
      <c r="R256" s="154" t="s">
        <v>54</v>
      </c>
      <c r="S256" s="116" t="e">
        <f t="shared" si="198"/>
        <v>#REF!</v>
      </c>
      <c r="T256" s="153" t="e">
        <f t="shared" si="202"/>
        <v>#REF!</v>
      </c>
      <c r="U256" s="116" t="e">
        <f t="shared" si="199"/>
        <v>#REF!</v>
      </c>
      <c r="V256" s="116" t="e">
        <f t="shared" si="190"/>
        <v>#REF!</v>
      </c>
      <c r="W256" s="116" t="e">
        <f t="shared" si="200"/>
        <v>#REF!</v>
      </c>
      <c r="X256" s="116" t="e">
        <f t="shared" si="201"/>
        <v>#REF!</v>
      </c>
    </row>
    <row r="257" spans="1:24" ht="15" customHeight="1" x14ac:dyDescent="0.25">
      <c r="A257" s="203"/>
      <c r="B257" s="154" t="s">
        <v>142</v>
      </c>
      <c r="C257" s="116" t="e">
        <f>C201+C211+C220+C229+C238+C247</f>
        <v>#REF!</v>
      </c>
      <c r="D257" s="153" t="e">
        <f>#REF!/#REF!</f>
        <v>#REF!</v>
      </c>
      <c r="E257" s="116" t="e">
        <f t="shared" si="191"/>
        <v>#REF!</v>
      </c>
      <c r="F257" s="116" t="e">
        <f>F201+F211+F220+F229+F238+F247</f>
        <v>#REF!</v>
      </c>
      <c r="G257" s="116" t="e">
        <f t="shared" si="192"/>
        <v>#REF!</v>
      </c>
      <c r="H257" s="116" t="e">
        <f t="shared" si="193"/>
        <v>#REF!</v>
      </c>
      <c r="I257" s="203"/>
      <c r="J257" s="154" t="s">
        <v>142</v>
      </c>
      <c r="K257" s="116" t="e">
        <f>K201+K211+K220+K229+K238+K247</f>
        <v>#REF!</v>
      </c>
      <c r="L257" s="153" t="e">
        <f t="shared" si="194"/>
        <v>#REF!</v>
      </c>
      <c r="M257" s="116" t="e">
        <f t="shared" si="195"/>
        <v>#REF!</v>
      </c>
      <c r="N257" s="116" t="e">
        <f t="shared" si="195"/>
        <v>#REF!</v>
      </c>
      <c r="O257" s="116" t="e">
        <f t="shared" si="196"/>
        <v>#REF!</v>
      </c>
      <c r="P257" s="116" t="e">
        <f t="shared" si="197"/>
        <v>#REF!</v>
      </c>
      <c r="Q257" s="203"/>
      <c r="R257" s="154" t="s">
        <v>142</v>
      </c>
      <c r="S257" s="116" t="e">
        <f t="shared" si="198"/>
        <v>#REF!</v>
      </c>
      <c r="T257" s="153" t="e">
        <f t="shared" si="202"/>
        <v>#REF!</v>
      </c>
      <c r="U257" s="116" t="e">
        <f t="shared" si="199"/>
        <v>#REF!</v>
      </c>
      <c r="V257" s="116" t="e">
        <f t="shared" si="190"/>
        <v>#REF!</v>
      </c>
      <c r="W257" s="116" t="e">
        <f t="shared" si="200"/>
        <v>#REF!</v>
      </c>
      <c r="X257" s="116" t="e">
        <f t="shared" si="201"/>
        <v>#REF!</v>
      </c>
    </row>
    <row r="258" spans="1:24" ht="15" customHeight="1" x14ac:dyDescent="0.25">
      <c r="A258" s="203"/>
      <c r="B258" s="134" t="s">
        <v>155</v>
      </c>
      <c r="C258" s="116">
        <f>C202</f>
        <v>0</v>
      </c>
      <c r="D258" s="153" t="e">
        <f>#REF!/#REF!</f>
        <v>#REF!</v>
      </c>
      <c r="E258" s="116" t="e">
        <f t="shared" si="191"/>
        <v>#REF!</v>
      </c>
      <c r="F258" s="116">
        <f>F202</f>
        <v>49000</v>
      </c>
      <c r="G258" s="116" t="e">
        <f t="shared" si="192"/>
        <v>#REF!</v>
      </c>
      <c r="H258" s="116" t="e">
        <f t="shared" si="193"/>
        <v>#REF!</v>
      </c>
      <c r="I258" s="203"/>
      <c r="J258" s="134" t="s">
        <v>155</v>
      </c>
      <c r="K258" s="116">
        <f>K202</f>
        <v>0</v>
      </c>
      <c r="L258" s="153">
        <f t="shared" si="194"/>
        <v>0</v>
      </c>
      <c r="M258" s="116" t="e">
        <f>M202</f>
        <v>#REF!</v>
      </c>
      <c r="N258" s="116">
        <f>N202</f>
        <v>10500</v>
      </c>
      <c r="O258" s="116" t="e">
        <f t="shared" si="196"/>
        <v>#REF!</v>
      </c>
      <c r="P258" s="116" t="e">
        <f t="shared" si="197"/>
        <v>#REF!</v>
      </c>
      <c r="Q258" s="203"/>
      <c r="R258" s="134" t="s">
        <v>155</v>
      </c>
      <c r="S258" s="116">
        <f t="shared" si="198"/>
        <v>0</v>
      </c>
      <c r="T258" s="153">
        <f t="shared" si="202"/>
        <v>0</v>
      </c>
      <c r="U258" s="116" t="e">
        <f t="shared" si="199"/>
        <v>#REF!</v>
      </c>
      <c r="V258" s="116">
        <f t="shared" si="190"/>
        <v>59500</v>
      </c>
      <c r="W258" s="116" t="e">
        <f t="shared" si="200"/>
        <v>#REF!</v>
      </c>
      <c r="X258" s="116" t="e">
        <f t="shared" si="201"/>
        <v>#REF!</v>
      </c>
    </row>
    <row r="259" spans="1:24" ht="15" customHeight="1" x14ac:dyDescent="0.25">
      <c r="A259" s="203"/>
      <c r="B259" s="111" t="s">
        <v>261</v>
      </c>
      <c r="C259" s="125" t="e">
        <f>SUM(C253:C258)</f>
        <v>#REF!</v>
      </c>
      <c r="D259" s="155" t="e">
        <f t="shared" ref="D259" si="203">IF(C259=0,0,E259/C259)</f>
        <v>#REF!</v>
      </c>
      <c r="E259" s="125" t="e">
        <f>SUM(E253:E258)</f>
        <v>#REF!</v>
      </c>
      <c r="F259" s="125" t="e">
        <f>SUM(F253:F258)</f>
        <v>#REF!</v>
      </c>
      <c r="G259" s="125" t="e">
        <f>SUM(G253:G258)</f>
        <v>#REF!</v>
      </c>
      <c r="H259" s="125" t="e">
        <f>SUM(H253:H258)</f>
        <v>#REF!</v>
      </c>
      <c r="I259" s="203"/>
      <c r="J259" s="111" t="s">
        <v>261</v>
      </c>
      <c r="K259" s="125" t="e">
        <f>SUM(K253:K258)</f>
        <v>#REF!</v>
      </c>
      <c r="L259" s="155" t="e">
        <f t="shared" si="194"/>
        <v>#REF!</v>
      </c>
      <c r="M259" s="125" t="e">
        <f>SUM(M253:M258)</f>
        <v>#REF!</v>
      </c>
      <c r="N259" s="125" t="e">
        <f>SUM(N253:N258)</f>
        <v>#REF!</v>
      </c>
      <c r="O259" s="125" t="e">
        <f>SUM(O253:O258)</f>
        <v>#REF!</v>
      </c>
      <c r="P259" s="125" t="e">
        <f>SUM(P253:P258)</f>
        <v>#REF!</v>
      </c>
      <c r="Q259" s="203"/>
      <c r="R259" s="111" t="s">
        <v>261</v>
      </c>
      <c r="S259" s="125" t="e">
        <f>SUM(S253:S258)</f>
        <v>#REF!</v>
      </c>
      <c r="T259" s="155" t="e">
        <f t="shared" si="202"/>
        <v>#REF!</v>
      </c>
      <c r="U259" s="125" t="e">
        <f>SUM(U253:U258)</f>
        <v>#REF!</v>
      </c>
      <c r="V259" s="125" t="e">
        <f>SUM(V253:V258)</f>
        <v>#REF!</v>
      </c>
      <c r="W259" s="125" t="e">
        <f>SUM(W253:W258)</f>
        <v>#REF!</v>
      </c>
      <c r="X259" s="125" t="e">
        <f>SUM(X253:X258)</f>
        <v>#REF!</v>
      </c>
    </row>
    <row r="260" spans="1:24" ht="15" customHeight="1" x14ac:dyDescent="0.25">
      <c r="A260" s="203"/>
      <c r="B260" s="170" t="s">
        <v>262</v>
      </c>
      <c r="C260" s="116">
        <v>0</v>
      </c>
      <c r="D260" s="153">
        <v>0</v>
      </c>
      <c r="E260" s="116">
        <f t="shared" si="191"/>
        <v>0</v>
      </c>
      <c r="F260" s="116">
        <f>-(F258-J134)</f>
        <v>-49000</v>
      </c>
      <c r="G260" s="116">
        <f t="shared" ref="G260" si="204">E260+F260</f>
        <v>-49000</v>
      </c>
      <c r="H260" s="116">
        <f t="shared" ref="H260" si="205">G260-C260</f>
        <v>-49000</v>
      </c>
      <c r="I260" s="203"/>
      <c r="J260" s="170" t="s">
        <v>262</v>
      </c>
      <c r="K260" s="116">
        <v>0</v>
      </c>
      <c r="L260" s="153">
        <v>0</v>
      </c>
      <c r="M260" s="116">
        <f t="shared" ref="M260" si="206">K260*L260</f>
        <v>0</v>
      </c>
      <c r="N260" s="116" t="e">
        <f>-(N258-J172)</f>
        <v>#REF!</v>
      </c>
      <c r="O260" s="116" t="e">
        <f>M260+N260</f>
        <v>#REF!</v>
      </c>
      <c r="P260" s="116" t="e">
        <f t="shared" ref="P260" si="207">O260-K260</f>
        <v>#REF!</v>
      </c>
      <c r="Q260" s="203"/>
      <c r="R260" s="170" t="s">
        <v>262</v>
      </c>
      <c r="S260" s="116">
        <f t="shared" ref="S260" si="208">C260+K260</f>
        <v>0</v>
      </c>
      <c r="T260" s="153">
        <f t="shared" ref="T260:T261" si="209">IF(S260=0,0,U260/S260)</f>
        <v>0</v>
      </c>
      <c r="U260" s="116">
        <f t="shared" ref="U260" si="210">E260+M260</f>
        <v>0</v>
      </c>
      <c r="V260" s="116" t="e">
        <f>F260+N260</f>
        <v>#REF!</v>
      </c>
      <c r="W260" s="116" t="e">
        <f t="shared" ref="W260" si="211">U260+V260</f>
        <v>#REF!</v>
      </c>
      <c r="X260" s="116" t="e">
        <f>W260-S260</f>
        <v>#REF!</v>
      </c>
    </row>
    <row r="261" spans="1:24" ht="15" customHeight="1" x14ac:dyDescent="0.25">
      <c r="A261" s="203"/>
      <c r="B261" s="111" t="s">
        <v>163</v>
      </c>
      <c r="C261" s="125" t="e">
        <f>C259+C260</f>
        <v>#REF!</v>
      </c>
      <c r="D261" s="155" t="e">
        <f t="shared" ref="D261" si="212">IF(C261=0,0,E261/C261)</f>
        <v>#REF!</v>
      </c>
      <c r="E261" s="125" t="e">
        <f>E259+E260</f>
        <v>#REF!</v>
      </c>
      <c r="F261" s="125" t="e">
        <f>F259+F260</f>
        <v>#REF!</v>
      </c>
      <c r="G261" s="125" t="e">
        <f>G259+G260</f>
        <v>#REF!</v>
      </c>
      <c r="H261" s="125" t="e">
        <f>H259+H260</f>
        <v>#REF!</v>
      </c>
      <c r="I261" s="203"/>
      <c r="J261" s="111" t="s">
        <v>163</v>
      </c>
      <c r="K261" s="125" t="e">
        <f>K259+K260</f>
        <v>#REF!</v>
      </c>
      <c r="L261" s="155" t="e">
        <f t="shared" si="194"/>
        <v>#REF!</v>
      </c>
      <c r="M261" s="125" t="e">
        <f>M259+M260</f>
        <v>#REF!</v>
      </c>
      <c r="N261" s="125" t="e">
        <f>N259+N260</f>
        <v>#REF!</v>
      </c>
      <c r="O261" s="125" t="e">
        <f>O259+O260</f>
        <v>#REF!</v>
      </c>
      <c r="P261" s="125" t="e">
        <f>P259+P260</f>
        <v>#REF!</v>
      </c>
      <c r="Q261" s="203"/>
      <c r="R261" s="111" t="s">
        <v>163</v>
      </c>
      <c r="S261" s="125" t="e">
        <f>S259+S260</f>
        <v>#REF!</v>
      </c>
      <c r="T261" s="155" t="e">
        <f t="shared" si="209"/>
        <v>#REF!</v>
      </c>
      <c r="U261" s="125" t="e">
        <f>U259+U260</f>
        <v>#REF!</v>
      </c>
      <c r="V261" s="125" t="e">
        <f>V259+V260</f>
        <v>#REF!</v>
      </c>
      <c r="W261" s="125" t="e">
        <f>W259+W260</f>
        <v>#REF!</v>
      </c>
      <c r="X261" s="125" t="e">
        <f>X259+X260</f>
        <v>#REF!</v>
      </c>
    </row>
    <row r="262" spans="1:24" ht="15" customHeight="1" x14ac:dyDescent="0.25">
      <c r="A262" s="203"/>
      <c r="B262" s="362" t="s">
        <v>308</v>
      </c>
      <c r="C262" s="362"/>
      <c r="D262" s="362"/>
      <c r="E262" s="362"/>
      <c r="F262" s="362"/>
      <c r="G262" s="362"/>
      <c r="H262" s="362"/>
      <c r="I262" s="203"/>
      <c r="J262" s="361" t="s">
        <v>308</v>
      </c>
      <c r="K262" s="361"/>
      <c r="L262" s="361"/>
      <c r="M262" s="361"/>
      <c r="N262" s="361"/>
      <c r="O262" s="361"/>
      <c r="P262" s="361"/>
      <c r="Q262" s="203"/>
      <c r="R262" s="363" t="s">
        <v>310</v>
      </c>
      <c r="S262" s="363"/>
      <c r="T262" s="363"/>
      <c r="U262" s="363"/>
      <c r="V262" s="363"/>
      <c r="W262" s="363"/>
      <c r="X262" s="363"/>
    </row>
    <row r="263" spans="1:24" ht="15" customHeight="1" x14ac:dyDescent="0.25">
      <c r="A263" s="203"/>
      <c r="I263" s="203"/>
      <c r="M263" s="26"/>
      <c r="Q263" s="203"/>
    </row>
    <row r="264" spans="1:24" ht="15" customHeight="1" x14ac:dyDescent="0.25">
      <c r="A264" s="202" t="s">
        <v>363</v>
      </c>
      <c r="B264" s="157" t="s">
        <v>351</v>
      </c>
      <c r="C264" s="158" t="s">
        <v>37</v>
      </c>
      <c r="D264" s="158" t="s">
        <v>38</v>
      </c>
      <c r="E264" s="158" t="s">
        <v>345</v>
      </c>
      <c r="F264" s="158" t="s">
        <v>20</v>
      </c>
      <c r="G264" s="158" t="s">
        <v>346</v>
      </c>
      <c r="H264" s="158" t="s">
        <v>347</v>
      </c>
      <c r="I264" s="202" t="s">
        <v>363</v>
      </c>
      <c r="J264" s="157" t="str">
        <f>B264</f>
        <v>Conso</v>
      </c>
      <c r="K264" s="158" t="s">
        <v>37</v>
      </c>
      <c r="L264" s="158" t="s">
        <v>38</v>
      </c>
      <c r="M264" s="158" t="s">
        <v>345</v>
      </c>
      <c r="N264" s="158" t="s">
        <v>20</v>
      </c>
      <c r="O264" s="158" t="s">
        <v>346</v>
      </c>
      <c r="P264" s="158" t="s">
        <v>347</v>
      </c>
      <c r="Q264" s="202" t="s">
        <v>363</v>
      </c>
      <c r="R264" s="157" t="str">
        <f>B264</f>
        <v>Conso</v>
      </c>
      <c r="S264" s="158" t="s">
        <v>37</v>
      </c>
      <c r="T264" s="158" t="s">
        <v>38</v>
      </c>
      <c r="U264" s="158" t="s">
        <v>345</v>
      </c>
      <c r="V264" s="158" t="s">
        <v>20</v>
      </c>
      <c r="W264" s="158" t="s">
        <v>346</v>
      </c>
      <c r="X264" s="158" t="s">
        <v>347</v>
      </c>
    </row>
    <row r="265" spans="1:24" ht="15" customHeight="1" x14ac:dyDescent="0.25">
      <c r="A265" s="203"/>
      <c r="B265" s="111" t="s">
        <v>62</v>
      </c>
      <c r="C265" s="150" t="s">
        <v>160</v>
      </c>
      <c r="D265" s="151" t="s">
        <v>161</v>
      </c>
      <c r="E265" s="149" t="s">
        <v>156</v>
      </c>
      <c r="F265" s="149" t="s">
        <v>303</v>
      </c>
      <c r="G265" s="152" t="s">
        <v>78</v>
      </c>
      <c r="H265" s="152" t="s">
        <v>148</v>
      </c>
      <c r="I265" s="203"/>
      <c r="J265" s="111" t="s">
        <v>63</v>
      </c>
      <c r="K265" s="150" t="s">
        <v>160</v>
      </c>
      <c r="L265" s="151" t="s">
        <v>161</v>
      </c>
      <c r="M265" s="149" t="s">
        <v>156</v>
      </c>
      <c r="N265" s="149" t="s">
        <v>303</v>
      </c>
      <c r="O265" s="152" t="s">
        <v>78</v>
      </c>
      <c r="P265" s="152" t="s">
        <v>148</v>
      </c>
      <c r="Q265" s="203"/>
      <c r="R265" s="111" t="s">
        <v>7</v>
      </c>
      <c r="S265" s="150" t="s">
        <v>160</v>
      </c>
      <c r="T265" s="151" t="s">
        <v>161</v>
      </c>
      <c r="U265" s="149" t="s">
        <v>156</v>
      </c>
      <c r="V265" s="149" t="s">
        <v>303</v>
      </c>
      <c r="W265" s="152" t="s">
        <v>78</v>
      </c>
      <c r="X265" s="152" t="s">
        <v>148</v>
      </c>
    </row>
    <row r="266" spans="1:24" ht="15" customHeight="1" x14ac:dyDescent="0.25">
      <c r="A266" s="203"/>
      <c r="B266" s="134" t="s">
        <v>43</v>
      </c>
      <c r="C266" s="116" t="e">
        <f>C203</f>
        <v>#REF!</v>
      </c>
      <c r="D266" s="171" t="e">
        <f t="shared" ref="D266:D274" si="213">IF(C266=0,0,E266/C266)</f>
        <v>#REF!</v>
      </c>
      <c r="E266" s="116" t="e">
        <f>E203</f>
        <v>#REF!</v>
      </c>
      <c r="F266" s="116" t="e">
        <f>F203</f>
        <v>#REF!</v>
      </c>
      <c r="G266" s="116" t="e">
        <f t="shared" ref="G266:G271" si="214">E266+F266</f>
        <v>#REF!</v>
      </c>
      <c r="H266" s="116" t="e">
        <f>G266-C266</f>
        <v>#REF!</v>
      </c>
      <c r="I266" s="203"/>
      <c r="J266" s="134" t="s">
        <v>43</v>
      </c>
      <c r="K266" s="116" t="e">
        <f>K203</f>
        <v>#REF!</v>
      </c>
      <c r="L266" s="171" t="e">
        <f t="shared" ref="L266:L274" si="215">IF(K266=0,0,M266/K266)</f>
        <v>#REF!</v>
      </c>
      <c r="M266" s="116" t="e">
        <f>M203</f>
        <v>#REF!</v>
      </c>
      <c r="N266" s="116" t="e">
        <f>N203</f>
        <v>#REF!</v>
      </c>
      <c r="O266" s="116" t="e">
        <f t="shared" ref="O266:O271" si="216">M266+N266</f>
        <v>#REF!</v>
      </c>
      <c r="P266" s="116" t="e">
        <f>O266-K266</f>
        <v>#REF!</v>
      </c>
      <c r="Q266" s="203"/>
      <c r="R266" s="134" t="s">
        <v>43</v>
      </c>
      <c r="S266" s="116" t="e">
        <f>C266+K266</f>
        <v>#REF!</v>
      </c>
      <c r="T266" s="153" t="e">
        <f>IF(S266=0,0,U266/S266)</f>
        <v>#REF!</v>
      </c>
      <c r="U266" s="116" t="e">
        <f>E266+M266</f>
        <v>#REF!</v>
      </c>
      <c r="V266" s="116" t="e">
        <f t="shared" ref="V266:V271" si="217">F266+N266</f>
        <v>#REF!</v>
      </c>
      <c r="W266" s="116" t="e">
        <f>U266+V266</f>
        <v>#REF!</v>
      </c>
      <c r="X266" s="116" t="e">
        <f>W266-S266</f>
        <v>#REF!</v>
      </c>
    </row>
    <row r="267" spans="1:24" ht="15" customHeight="1" x14ac:dyDescent="0.25">
      <c r="A267" s="203"/>
      <c r="B267" s="135" t="s">
        <v>45</v>
      </c>
      <c r="C267" s="116">
        <f>C212</f>
        <v>0</v>
      </c>
      <c r="D267" s="171">
        <f t="shared" si="213"/>
        <v>0</v>
      </c>
      <c r="E267" s="116">
        <f t="shared" ref="E267:F267" si="218">E212</f>
        <v>0</v>
      </c>
      <c r="F267" s="116">
        <f t="shared" si="218"/>
        <v>0</v>
      </c>
      <c r="G267" s="116">
        <f t="shared" si="214"/>
        <v>0</v>
      </c>
      <c r="H267" s="116">
        <f t="shared" ref="H267:H271" si="219">G267-C267</f>
        <v>0</v>
      </c>
      <c r="I267" s="203"/>
      <c r="J267" s="135" t="s">
        <v>45</v>
      </c>
      <c r="K267" s="116" t="e">
        <f>K212</f>
        <v>#REF!</v>
      </c>
      <c r="L267" s="171" t="e">
        <f t="shared" si="215"/>
        <v>#REF!</v>
      </c>
      <c r="M267" s="116" t="e">
        <f t="shared" ref="M267:N267" si="220">M212</f>
        <v>#REF!</v>
      </c>
      <c r="N267" s="116" t="e">
        <f t="shared" si="220"/>
        <v>#REF!</v>
      </c>
      <c r="O267" s="116" t="e">
        <f t="shared" si="216"/>
        <v>#REF!</v>
      </c>
      <c r="P267" s="116" t="e">
        <f t="shared" ref="P267:P271" si="221">O267-K267</f>
        <v>#REF!</v>
      </c>
      <c r="Q267" s="203"/>
      <c r="R267" s="135" t="s">
        <v>45</v>
      </c>
      <c r="S267" s="116" t="e">
        <f t="shared" ref="S267:S271" si="222">C267+K267</f>
        <v>#REF!</v>
      </c>
      <c r="T267" s="153" t="e">
        <f>IF(S267=0,0,U267/S267)</f>
        <v>#REF!</v>
      </c>
      <c r="U267" s="116" t="e">
        <f t="shared" ref="U267:U271" si="223">E267+M267</f>
        <v>#REF!</v>
      </c>
      <c r="V267" s="116" t="e">
        <f t="shared" si="217"/>
        <v>#REF!</v>
      </c>
      <c r="W267" s="116" t="e">
        <f t="shared" ref="W267:W271" si="224">U267+V267</f>
        <v>#REF!</v>
      </c>
      <c r="X267" s="116" t="e">
        <f t="shared" ref="X267:X271" si="225">W267-S267</f>
        <v>#REF!</v>
      </c>
    </row>
    <row r="268" spans="1:24" ht="15" customHeight="1" x14ac:dyDescent="0.25">
      <c r="A268" s="203"/>
      <c r="B268" s="135" t="s">
        <v>44</v>
      </c>
      <c r="C268" s="116" t="e">
        <f>C221</f>
        <v>#REF!</v>
      </c>
      <c r="D268" s="171" t="e">
        <f t="shared" si="213"/>
        <v>#REF!</v>
      </c>
      <c r="E268" s="116" t="e">
        <f>E221</f>
        <v>#REF!</v>
      </c>
      <c r="F268" s="116" t="e">
        <f>F221</f>
        <v>#REF!</v>
      </c>
      <c r="G268" s="116" t="e">
        <f t="shared" si="214"/>
        <v>#REF!</v>
      </c>
      <c r="H268" s="116" t="e">
        <f t="shared" si="219"/>
        <v>#REF!</v>
      </c>
      <c r="I268" s="203"/>
      <c r="J268" s="135" t="s">
        <v>44</v>
      </c>
      <c r="K268" s="116">
        <f>K221</f>
        <v>0</v>
      </c>
      <c r="L268" s="171">
        <f t="shared" si="215"/>
        <v>0</v>
      </c>
      <c r="M268" s="116">
        <f>M221</f>
        <v>0</v>
      </c>
      <c r="N268" s="116">
        <f>N221</f>
        <v>0</v>
      </c>
      <c r="O268" s="116">
        <f t="shared" si="216"/>
        <v>0</v>
      </c>
      <c r="P268" s="116">
        <f t="shared" si="221"/>
        <v>0</v>
      </c>
      <c r="Q268" s="203"/>
      <c r="R268" s="135" t="s">
        <v>44</v>
      </c>
      <c r="S268" s="116" t="e">
        <f t="shared" si="222"/>
        <v>#REF!</v>
      </c>
      <c r="T268" s="153" t="e">
        <f t="shared" ref="T268:T274" si="226">IF(S268=0,0,U268/S268)</f>
        <v>#REF!</v>
      </c>
      <c r="U268" s="116" t="e">
        <f t="shared" si="223"/>
        <v>#REF!</v>
      </c>
      <c r="V268" s="116" t="e">
        <f t="shared" si="217"/>
        <v>#REF!</v>
      </c>
      <c r="W268" s="116" t="e">
        <f t="shared" si="224"/>
        <v>#REF!</v>
      </c>
      <c r="X268" s="116" t="e">
        <f t="shared" si="225"/>
        <v>#REF!</v>
      </c>
    </row>
    <row r="269" spans="1:24" ht="15" customHeight="1" x14ac:dyDescent="0.25">
      <c r="A269" s="203"/>
      <c r="B269" s="135" t="s">
        <v>304</v>
      </c>
      <c r="C269" s="116" t="e">
        <f>C230</f>
        <v>#REF!</v>
      </c>
      <c r="D269" s="171" t="e">
        <f t="shared" si="213"/>
        <v>#REF!</v>
      </c>
      <c r="E269" s="116" t="e">
        <f>E230</f>
        <v>#REF!</v>
      </c>
      <c r="F269" s="116" t="e">
        <f>F230</f>
        <v>#REF!</v>
      </c>
      <c r="G269" s="116" t="e">
        <f t="shared" si="214"/>
        <v>#REF!</v>
      </c>
      <c r="H269" s="116" t="e">
        <f t="shared" si="219"/>
        <v>#REF!</v>
      </c>
      <c r="I269" s="203"/>
      <c r="J269" s="135" t="s">
        <v>304</v>
      </c>
      <c r="K269" s="116" t="e">
        <f>K230</f>
        <v>#REF!</v>
      </c>
      <c r="L269" s="171" t="e">
        <f t="shared" si="215"/>
        <v>#REF!</v>
      </c>
      <c r="M269" s="116" t="e">
        <f>M230</f>
        <v>#REF!</v>
      </c>
      <c r="N269" s="116" t="e">
        <f>N230</f>
        <v>#REF!</v>
      </c>
      <c r="O269" s="116" t="e">
        <f t="shared" si="216"/>
        <v>#REF!</v>
      </c>
      <c r="P269" s="116" t="e">
        <f t="shared" si="221"/>
        <v>#REF!</v>
      </c>
      <c r="Q269" s="203"/>
      <c r="R269" s="135" t="s">
        <v>304</v>
      </c>
      <c r="S269" s="116" t="e">
        <f t="shared" si="222"/>
        <v>#REF!</v>
      </c>
      <c r="T269" s="153" t="e">
        <f t="shared" si="226"/>
        <v>#REF!</v>
      </c>
      <c r="U269" s="116" t="e">
        <f t="shared" si="223"/>
        <v>#REF!</v>
      </c>
      <c r="V269" s="116" t="e">
        <f t="shared" si="217"/>
        <v>#REF!</v>
      </c>
      <c r="W269" s="116" t="e">
        <f t="shared" si="224"/>
        <v>#REF!</v>
      </c>
      <c r="X269" s="116" t="e">
        <f t="shared" si="225"/>
        <v>#REF!</v>
      </c>
    </row>
    <row r="270" spans="1:24" ht="15" customHeight="1" x14ac:dyDescent="0.25">
      <c r="A270" s="203"/>
      <c r="B270" s="205" t="s">
        <v>364</v>
      </c>
      <c r="C270" s="116">
        <f>C239</f>
        <v>0</v>
      </c>
      <c r="D270" s="171">
        <f>IF(C270=0,0,E270/C270)</f>
        <v>0</v>
      </c>
      <c r="E270" s="116">
        <f>E239</f>
        <v>0</v>
      </c>
      <c r="F270" s="116">
        <f>F239</f>
        <v>0</v>
      </c>
      <c r="G270" s="116">
        <f>E270+F270</f>
        <v>0</v>
      </c>
      <c r="H270" s="116">
        <f>G270-C270</f>
        <v>0</v>
      </c>
      <c r="I270" s="203"/>
      <c r="J270" s="205" t="s">
        <v>364</v>
      </c>
      <c r="K270" s="116" t="e">
        <f>K239</f>
        <v>#REF!</v>
      </c>
      <c r="L270" s="171" t="e">
        <f>IF(K270=0,0,M270/K270)</f>
        <v>#REF!</v>
      </c>
      <c r="M270" s="116" t="e">
        <f>M239</f>
        <v>#REF!</v>
      </c>
      <c r="N270" s="116" t="e">
        <f>N239</f>
        <v>#REF!</v>
      </c>
      <c r="O270" s="116" t="e">
        <f>M270+N270</f>
        <v>#REF!</v>
      </c>
      <c r="P270" s="116" t="e">
        <f>O270-K270</f>
        <v>#REF!</v>
      </c>
      <c r="Q270" s="203"/>
      <c r="R270" s="205" t="s">
        <v>364</v>
      </c>
      <c r="S270" s="116" t="e">
        <f>C270+K270</f>
        <v>#REF!</v>
      </c>
      <c r="T270" s="153" t="e">
        <f>IF(S270=0,0,U270/S270)</f>
        <v>#REF!</v>
      </c>
      <c r="U270" s="116" t="e">
        <f>E270+M270</f>
        <v>#REF!</v>
      </c>
      <c r="V270" s="116" t="e">
        <f>F270+N270</f>
        <v>#REF!</v>
      </c>
      <c r="W270" s="116" t="e">
        <f>U270+V270</f>
        <v>#REF!</v>
      </c>
      <c r="X270" s="116" t="e">
        <f>W270-S270</f>
        <v>#REF!</v>
      </c>
    </row>
    <row r="271" spans="1:24" ht="15" customHeight="1" x14ac:dyDescent="0.25">
      <c r="A271" s="203"/>
      <c r="B271" s="205" t="s">
        <v>78</v>
      </c>
      <c r="C271" s="116" t="e">
        <f>C248</f>
        <v>#REF!</v>
      </c>
      <c r="D271" s="171" t="e">
        <f t="shared" si="213"/>
        <v>#REF!</v>
      </c>
      <c r="E271" s="116" t="e">
        <f>E248</f>
        <v>#REF!</v>
      </c>
      <c r="F271" s="116" t="e">
        <f>F248</f>
        <v>#REF!</v>
      </c>
      <c r="G271" s="116" t="e">
        <f t="shared" si="214"/>
        <v>#REF!</v>
      </c>
      <c r="H271" s="116" t="e">
        <f t="shared" si="219"/>
        <v>#REF!</v>
      </c>
      <c r="I271" s="203"/>
      <c r="J271" s="205" t="s">
        <v>78</v>
      </c>
      <c r="K271" s="116" t="e">
        <f>K248</f>
        <v>#REF!</v>
      </c>
      <c r="L271" s="171" t="e">
        <f t="shared" si="215"/>
        <v>#REF!</v>
      </c>
      <c r="M271" s="116" t="e">
        <f>M248</f>
        <v>#REF!</v>
      </c>
      <c r="N271" s="116" t="e">
        <f>N248</f>
        <v>#REF!</v>
      </c>
      <c r="O271" s="116" t="e">
        <f t="shared" si="216"/>
        <v>#REF!</v>
      </c>
      <c r="P271" s="116" t="e">
        <f t="shared" si="221"/>
        <v>#REF!</v>
      </c>
      <c r="Q271" s="203"/>
      <c r="R271" s="205" t="s">
        <v>78</v>
      </c>
      <c r="S271" s="116" t="e">
        <f t="shared" si="222"/>
        <v>#REF!</v>
      </c>
      <c r="T271" s="153" t="e">
        <f t="shared" si="226"/>
        <v>#REF!</v>
      </c>
      <c r="U271" s="116" t="e">
        <f t="shared" si="223"/>
        <v>#REF!</v>
      </c>
      <c r="V271" s="116" t="e">
        <f t="shared" si="217"/>
        <v>#REF!</v>
      </c>
      <c r="W271" s="116" t="e">
        <f t="shared" si="224"/>
        <v>#REF!</v>
      </c>
      <c r="X271" s="116" t="e">
        <f t="shared" si="225"/>
        <v>#REF!</v>
      </c>
    </row>
    <row r="272" spans="1:24" ht="15" customHeight="1" x14ac:dyDescent="0.25">
      <c r="A272" s="203"/>
      <c r="B272" s="111" t="s">
        <v>261</v>
      </c>
      <c r="C272" s="125" t="e">
        <f>SUM(C266:C271)</f>
        <v>#REF!</v>
      </c>
      <c r="D272" s="155" t="e">
        <f t="shared" si="213"/>
        <v>#REF!</v>
      </c>
      <c r="E272" s="125" t="e">
        <f>SUM(E266:E271)</f>
        <v>#REF!</v>
      </c>
      <c r="F272" s="125" t="e">
        <f>SUM(F266:F271)</f>
        <v>#REF!</v>
      </c>
      <c r="G272" s="125" t="e">
        <f>SUM(G266:G271)</f>
        <v>#REF!</v>
      </c>
      <c r="H272" s="125" t="e">
        <f>SUM(H266:H271)</f>
        <v>#REF!</v>
      </c>
      <c r="I272" s="203"/>
      <c r="J272" s="111" t="s">
        <v>261</v>
      </c>
      <c r="K272" s="125" t="e">
        <f>SUM(K266:K271)</f>
        <v>#REF!</v>
      </c>
      <c r="L272" s="155" t="e">
        <f t="shared" si="215"/>
        <v>#REF!</v>
      </c>
      <c r="M272" s="125" t="e">
        <f>SUM(M266:M271)</f>
        <v>#REF!</v>
      </c>
      <c r="N272" s="125" t="e">
        <f>SUM(N266:N271)</f>
        <v>#REF!</v>
      </c>
      <c r="O272" s="125" t="e">
        <f>SUM(O266:O271)</f>
        <v>#REF!</v>
      </c>
      <c r="P272" s="125" t="e">
        <f>SUM(P266:P271)</f>
        <v>#REF!</v>
      </c>
      <c r="Q272" s="203"/>
      <c r="R272" s="111" t="s">
        <v>261</v>
      </c>
      <c r="S272" s="125" t="e">
        <f>SUM(S266:S271)</f>
        <v>#REF!</v>
      </c>
      <c r="T272" s="155" t="e">
        <f t="shared" si="226"/>
        <v>#REF!</v>
      </c>
      <c r="U272" s="125" t="e">
        <f>SUM(U266:U271)</f>
        <v>#REF!</v>
      </c>
      <c r="V272" s="125" t="e">
        <f>SUM(V266:V271)</f>
        <v>#REF!</v>
      </c>
      <c r="W272" s="125" t="e">
        <f>SUM(W266:W271)</f>
        <v>#REF!</v>
      </c>
      <c r="X272" s="125" t="e">
        <f>SUM(X266:X271)</f>
        <v>#REF!</v>
      </c>
    </row>
    <row r="273" spans="1:24" ht="15" customHeight="1" x14ac:dyDescent="0.25">
      <c r="A273" s="203"/>
      <c r="B273" s="170" t="s">
        <v>262</v>
      </c>
      <c r="C273" s="116">
        <f>C260</f>
        <v>0</v>
      </c>
      <c r="D273" s="171">
        <f t="shared" si="213"/>
        <v>0</v>
      </c>
      <c r="E273" s="116">
        <f>E260</f>
        <v>0</v>
      </c>
      <c r="F273" s="116">
        <f>F260</f>
        <v>-49000</v>
      </c>
      <c r="G273" s="116">
        <f t="shared" ref="G273" si="227">E273+F273</f>
        <v>-49000</v>
      </c>
      <c r="H273" s="116">
        <f t="shared" ref="H273" si="228">G273-C273</f>
        <v>-49000</v>
      </c>
      <c r="I273" s="203"/>
      <c r="J273" s="170" t="s">
        <v>262</v>
      </c>
      <c r="K273" s="116">
        <f>K260</f>
        <v>0</v>
      </c>
      <c r="L273" s="171">
        <f t="shared" si="215"/>
        <v>0</v>
      </c>
      <c r="M273" s="116">
        <f>M260</f>
        <v>0</v>
      </c>
      <c r="N273" s="116" t="e">
        <f>N260</f>
        <v>#REF!</v>
      </c>
      <c r="O273" s="116" t="e">
        <f t="shared" ref="O273" si="229">M273+N273</f>
        <v>#REF!</v>
      </c>
      <c r="P273" s="116" t="e">
        <f t="shared" ref="P273" si="230">O273-K273</f>
        <v>#REF!</v>
      </c>
      <c r="Q273" s="203"/>
      <c r="R273" s="170" t="s">
        <v>262</v>
      </c>
      <c r="S273" s="116">
        <f t="shared" ref="S273" si="231">C273+K273</f>
        <v>0</v>
      </c>
      <c r="T273" s="153">
        <f t="shared" si="226"/>
        <v>0</v>
      </c>
      <c r="U273" s="116">
        <f t="shared" ref="U273" si="232">E273+M273</f>
        <v>0</v>
      </c>
      <c r="V273" s="116" t="e">
        <f>F273+N273</f>
        <v>#REF!</v>
      </c>
      <c r="W273" s="116" t="e">
        <f t="shared" ref="W273" si="233">U273+V273</f>
        <v>#REF!</v>
      </c>
      <c r="X273" s="116" t="e">
        <f>W273-S273</f>
        <v>#REF!</v>
      </c>
    </row>
    <row r="274" spans="1:24" ht="15" customHeight="1" x14ac:dyDescent="0.25">
      <c r="A274" s="203"/>
      <c r="B274" s="111" t="s">
        <v>163</v>
      </c>
      <c r="C274" s="125" t="e">
        <f>C272+C273</f>
        <v>#REF!</v>
      </c>
      <c r="D274" s="155" t="e">
        <f t="shared" si="213"/>
        <v>#REF!</v>
      </c>
      <c r="E274" s="125" t="e">
        <f>E272+E273</f>
        <v>#REF!</v>
      </c>
      <c r="F274" s="125" t="e">
        <f>F272+F273</f>
        <v>#REF!</v>
      </c>
      <c r="G274" s="125" t="e">
        <f>G272+G273</f>
        <v>#REF!</v>
      </c>
      <c r="H274" s="125" t="e">
        <f>H272+H273</f>
        <v>#REF!</v>
      </c>
      <c r="I274" s="203"/>
      <c r="J274" s="111" t="s">
        <v>163</v>
      </c>
      <c r="K274" s="125" t="e">
        <f>K272+K273</f>
        <v>#REF!</v>
      </c>
      <c r="L274" s="155" t="e">
        <f t="shared" si="215"/>
        <v>#REF!</v>
      </c>
      <c r="M274" s="125" t="e">
        <f>M272+M273</f>
        <v>#REF!</v>
      </c>
      <c r="N274" s="125" t="e">
        <f>N272+N273</f>
        <v>#REF!</v>
      </c>
      <c r="O274" s="125" t="e">
        <f>O272+O273</f>
        <v>#REF!</v>
      </c>
      <c r="P274" s="125" t="e">
        <f>P272+P273</f>
        <v>#REF!</v>
      </c>
      <c r="Q274" s="203"/>
      <c r="R274" s="111" t="s">
        <v>163</v>
      </c>
      <c r="S274" s="125" t="e">
        <f>S272+S273</f>
        <v>#REF!</v>
      </c>
      <c r="T274" s="155" t="e">
        <f t="shared" si="226"/>
        <v>#REF!</v>
      </c>
      <c r="U274" s="125" t="e">
        <f>U272+U273</f>
        <v>#REF!</v>
      </c>
      <c r="V274" s="125" t="e">
        <f>V272+V273</f>
        <v>#REF!</v>
      </c>
      <c r="W274" s="125" t="e">
        <f>W272+W273</f>
        <v>#REF!</v>
      </c>
      <c r="X274" s="125" t="e">
        <f>X272+X273</f>
        <v>#REF!</v>
      </c>
    </row>
    <row r="275" spans="1:24" ht="15" customHeight="1" x14ac:dyDescent="0.25">
      <c r="A275" s="203"/>
      <c r="B275" s="362" t="s">
        <v>308</v>
      </c>
      <c r="C275" s="362"/>
      <c r="D275" s="362"/>
      <c r="E275" s="362"/>
      <c r="F275" s="362"/>
      <c r="G275" s="362"/>
      <c r="H275" s="362"/>
      <c r="I275" s="203"/>
      <c r="J275" s="361" t="s">
        <v>308</v>
      </c>
      <c r="K275" s="361"/>
      <c r="L275" s="361"/>
      <c r="M275" s="361"/>
      <c r="N275" s="361"/>
      <c r="O275" s="361"/>
      <c r="P275" s="361"/>
      <c r="Q275" s="203"/>
      <c r="R275" s="363" t="s">
        <v>310</v>
      </c>
      <c r="S275" s="363"/>
      <c r="T275" s="363"/>
      <c r="U275" s="363"/>
      <c r="V275" s="363"/>
      <c r="W275" s="363"/>
      <c r="X275" s="363"/>
    </row>
    <row r="277" spans="1:24" ht="15" customHeight="1" x14ac:dyDescent="0.25">
      <c r="I277" s="202" t="s">
        <v>358</v>
      </c>
      <c r="J277" s="157" t="s">
        <v>351</v>
      </c>
      <c r="K277" s="158" t="s">
        <v>37</v>
      </c>
      <c r="L277" s="158" t="s">
        <v>38</v>
      </c>
      <c r="M277" s="158" t="s">
        <v>345</v>
      </c>
      <c r="N277" s="158" t="s">
        <v>20</v>
      </c>
      <c r="O277" s="158" t="s">
        <v>346</v>
      </c>
      <c r="P277" s="158" t="s">
        <v>347</v>
      </c>
    </row>
    <row r="278" spans="1:24" ht="15" customHeight="1" x14ac:dyDescent="0.25">
      <c r="A278" s="203"/>
      <c r="B278" s="7" t="s">
        <v>42</v>
      </c>
      <c r="E278" s="93"/>
      <c r="I278" s="25"/>
      <c r="J278" s="111" t="s">
        <v>63</v>
      </c>
      <c r="K278" s="150" t="s">
        <v>160</v>
      </c>
      <c r="L278" s="151" t="s">
        <v>161</v>
      </c>
      <c r="M278" s="149" t="s">
        <v>156</v>
      </c>
      <c r="N278" s="149" t="s">
        <v>303</v>
      </c>
      <c r="O278" s="152" t="s">
        <v>78</v>
      </c>
      <c r="P278" s="152" t="s">
        <v>148</v>
      </c>
    </row>
    <row r="279" spans="1:24" ht="15" customHeight="1" x14ac:dyDescent="0.25">
      <c r="A279" s="210" t="s">
        <v>46</v>
      </c>
      <c r="B279" s="203" t="s">
        <v>271</v>
      </c>
      <c r="C279" s="16"/>
      <c r="I279" s="204"/>
      <c r="J279" s="112"/>
      <c r="K279" s="116" t="e">
        <f>K267</f>
        <v>#REF!</v>
      </c>
      <c r="L279" s="153" t="e">
        <f>#REF!/#REF!</f>
        <v>#REF!</v>
      </c>
      <c r="M279" s="116" t="e">
        <f>K279*L279</f>
        <v>#REF!</v>
      </c>
      <c r="N279" s="116" t="e">
        <f>N267</f>
        <v>#REF!</v>
      </c>
      <c r="O279" s="116" t="e">
        <f>M279+N279</f>
        <v>#REF!</v>
      </c>
      <c r="P279" s="116" t="e">
        <f t="shared" ref="P279" si="234">O279-K279</f>
        <v>#REF!</v>
      </c>
    </row>
    <row r="280" spans="1:24" ht="15" customHeight="1" x14ac:dyDescent="0.25">
      <c r="A280" s="210" t="s">
        <v>46</v>
      </c>
      <c r="B280" s="203" t="s">
        <v>270</v>
      </c>
      <c r="C280" s="16"/>
      <c r="I280" s="204"/>
      <c r="J280" s="112"/>
      <c r="K280" s="116" t="e">
        <f>K274-K267</f>
        <v>#REF!</v>
      </c>
      <c r="L280" s="153" t="e">
        <f>#REF!/#REF!</f>
        <v>#REF!</v>
      </c>
      <c r="M280" s="116" t="e">
        <f>K280*L280</f>
        <v>#REF!</v>
      </c>
      <c r="N280" s="116" t="e">
        <f>N274-N267</f>
        <v>#REF!</v>
      </c>
      <c r="O280" s="116" t="e">
        <f>M280+N280</f>
        <v>#REF!</v>
      </c>
      <c r="P280" s="116" t="e">
        <f t="shared" ref="P280" si="235">O280-K280</f>
        <v>#REF!</v>
      </c>
    </row>
    <row r="281" spans="1:24" ht="15" customHeight="1" x14ac:dyDescent="0.25">
      <c r="A281" s="211" t="s">
        <v>46</v>
      </c>
      <c r="B281" s="203" t="s">
        <v>269</v>
      </c>
      <c r="I281" s="25"/>
      <c r="J281" s="135" t="s">
        <v>306</v>
      </c>
      <c r="K281" s="125" t="e">
        <f>SUM(K279:K280)</f>
        <v>#REF!</v>
      </c>
      <c r="L281" s="155" t="e">
        <f>#REF!/#REF!</f>
        <v>#REF!</v>
      </c>
      <c r="M281" s="125" t="e">
        <f t="shared" ref="M281:N281" si="236">SUM(M279:M280)</f>
        <v>#REF!</v>
      </c>
      <c r="N281" s="125" t="e">
        <f t="shared" si="236"/>
        <v>#REF!</v>
      </c>
      <c r="O281" s="125" t="e">
        <f>M281+N281</f>
        <v>#REF!</v>
      </c>
      <c r="P281" s="125" t="e">
        <f t="shared" ref="P281" si="237">O281-K281</f>
        <v>#REF!</v>
      </c>
    </row>
    <row r="282" spans="1:24" ht="15" customHeight="1" x14ac:dyDescent="0.25">
      <c r="A282" s="212">
        <v>9</v>
      </c>
      <c r="B282" s="214" t="s">
        <v>376</v>
      </c>
      <c r="I282" s="204"/>
      <c r="J282" s="135" t="s">
        <v>307</v>
      </c>
      <c r="K282" s="125" t="e">
        <f>K274-K267</f>
        <v>#REF!</v>
      </c>
      <c r="L282" s="155" t="e">
        <f>(#REF!-$K$208-$K$209-$K$210)/(#REF!-$K$208-$K$209-$K$210)</f>
        <v>#REF!</v>
      </c>
      <c r="M282" s="125" t="e">
        <f>M274-M267</f>
        <v>#REF!</v>
      </c>
      <c r="N282" s="125" t="e">
        <f>N274-N267</f>
        <v>#REF!</v>
      </c>
      <c r="O282" s="125" t="e">
        <f>M282+N282</f>
        <v>#REF!</v>
      </c>
      <c r="P282" s="125" t="e">
        <f>O282-K282</f>
        <v>#REF!</v>
      </c>
      <c r="Q282" s="17"/>
    </row>
    <row r="283" spans="1:24" ht="15" customHeight="1" x14ac:dyDescent="0.25">
      <c r="A283" s="210" t="s">
        <v>46</v>
      </c>
      <c r="B283" s="203" t="s">
        <v>266</v>
      </c>
      <c r="I283" s="204"/>
      <c r="J283" s="112"/>
      <c r="K283" s="125" t="e">
        <f>K282-K281</f>
        <v>#REF!</v>
      </c>
      <c r="L283" s="155" t="e">
        <f t="shared" ref="L283" si="238">IF(K283=0,0,M283/K283)</f>
        <v>#REF!</v>
      </c>
      <c r="M283" s="125" t="e">
        <f>M282-M281</f>
        <v>#REF!</v>
      </c>
      <c r="N283" s="125" t="e">
        <f>N282-N281</f>
        <v>#REF!</v>
      </c>
      <c r="O283" s="125" t="e">
        <f>O282-O281</f>
        <v>#REF!</v>
      </c>
      <c r="P283" s="125" t="e">
        <f>P282-P281</f>
        <v>#REF!</v>
      </c>
      <c r="Q283" s="17"/>
    </row>
    <row r="284" spans="1:24" ht="15" customHeight="1" x14ac:dyDescent="0.25">
      <c r="A284" s="210" t="s">
        <v>46</v>
      </c>
      <c r="B284" s="203" t="s">
        <v>268</v>
      </c>
      <c r="I284" s="25"/>
      <c r="J284" s="361" t="s">
        <v>309</v>
      </c>
      <c r="K284" s="361"/>
      <c r="L284" s="361"/>
      <c r="M284" s="361"/>
      <c r="N284" s="361"/>
      <c r="O284" s="361"/>
      <c r="P284" s="361"/>
      <c r="Q284" s="25"/>
    </row>
    <row r="285" spans="1:24" ht="15" customHeight="1" x14ac:dyDescent="0.25">
      <c r="A285" s="213" t="s">
        <v>46</v>
      </c>
      <c r="B285" s="203" t="s">
        <v>265</v>
      </c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1:24" ht="15" customHeight="1" x14ac:dyDescent="0.25">
      <c r="A286" s="213" t="s">
        <v>46</v>
      </c>
      <c r="B286" s="203" t="s">
        <v>267</v>
      </c>
      <c r="I286" s="202" t="s">
        <v>358</v>
      </c>
      <c r="J286" s="157" t="s">
        <v>351</v>
      </c>
      <c r="K286" s="158" t="s">
        <v>37</v>
      </c>
      <c r="L286" s="158" t="s">
        <v>38</v>
      </c>
      <c r="M286" s="158" t="s">
        <v>345</v>
      </c>
      <c r="N286" s="158" t="s">
        <v>20</v>
      </c>
      <c r="O286" s="158" t="s">
        <v>346</v>
      </c>
      <c r="P286" s="158" t="s">
        <v>347</v>
      </c>
      <c r="Q286" s="25"/>
    </row>
    <row r="287" spans="1:24" ht="15" customHeight="1" x14ac:dyDescent="0.25">
      <c r="B287" s="92"/>
      <c r="I287" s="25"/>
      <c r="J287" s="111" t="s">
        <v>63</v>
      </c>
      <c r="K287" s="150" t="s">
        <v>160</v>
      </c>
      <c r="L287" s="151" t="s">
        <v>161</v>
      </c>
      <c r="M287" s="149" t="s">
        <v>156</v>
      </c>
      <c r="N287" s="151" t="s">
        <v>311</v>
      </c>
      <c r="O287" s="149" t="s">
        <v>303</v>
      </c>
      <c r="P287" s="152" t="s">
        <v>148</v>
      </c>
      <c r="Q287" s="25"/>
    </row>
    <row r="288" spans="1:24" ht="15" customHeight="1" x14ac:dyDescent="0.25">
      <c r="B288" s="92"/>
      <c r="I288" s="25"/>
      <c r="J288" s="135" t="s">
        <v>307</v>
      </c>
      <c r="K288" s="172" t="e">
        <f>K282</f>
        <v>#REF!</v>
      </c>
      <c r="L288" s="171" t="e">
        <f>L282</f>
        <v>#REF!</v>
      </c>
      <c r="M288" s="172" t="e">
        <f>K288*L288</f>
        <v>#REF!</v>
      </c>
      <c r="N288" s="171" t="e">
        <f>1-L288</f>
        <v>#REF!</v>
      </c>
      <c r="O288" s="172" t="e">
        <f>K288*N288</f>
        <v>#REF!</v>
      </c>
      <c r="P288" s="116" t="e">
        <f>K288-M288-O288</f>
        <v>#REF!</v>
      </c>
      <c r="Q288" s="25"/>
    </row>
    <row r="289" spans="1:18" ht="15" customHeight="1" x14ac:dyDescent="0.25">
      <c r="B289" s="92"/>
      <c r="I289" s="25"/>
      <c r="J289" s="173" t="s">
        <v>56</v>
      </c>
      <c r="K289" s="172" t="e">
        <f>K288</f>
        <v>#REF!</v>
      </c>
      <c r="L289" s="174" t="e">
        <f>L288</f>
        <v>#REF!</v>
      </c>
      <c r="M289" s="172" t="e">
        <f>K289*L289</f>
        <v>#REF!</v>
      </c>
      <c r="N289" s="155" t="e">
        <f>1-L289</f>
        <v>#REF!</v>
      </c>
      <c r="O289" s="172" t="e">
        <f>K289*N289</f>
        <v>#REF!</v>
      </c>
      <c r="P289" s="116" t="e">
        <f>K289-M289-O289</f>
        <v>#REF!</v>
      </c>
      <c r="Q289" s="25"/>
    </row>
    <row r="290" spans="1:18" ht="15" customHeight="1" x14ac:dyDescent="0.25">
      <c r="B290" s="92"/>
      <c r="I290" s="25"/>
      <c r="J290" s="173" t="s">
        <v>51</v>
      </c>
      <c r="K290" s="118" t="e">
        <f>K288</f>
        <v>#REF!</v>
      </c>
      <c r="L290" s="155" t="e">
        <f t="shared" ref="L290:N290" si="239">IF(K290=0,0,M290/K290)</f>
        <v>#REF!</v>
      </c>
      <c r="M290" s="118" t="e">
        <f>M289-M288</f>
        <v>#REF!</v>
      </c>
      <c r="N290" s="155" t="e">
        <f t="shared" si="239"/>
        <v>#REF!</v>
      </c>
      <c r="O290" s="118" t="e">
        <f>O289-O288</f>
        <v>#REF!</v>
      </c>
      <c r="P290" s="118" t="e">
        <f>P289-P288</f>
        <v>#REF!</v>
      </c>
      <c r="Q290" s="25"/>
    </row>
    <row r="291" spans="1:18" ht="15" customHeight="1" x14ac:dyDescent="0.25">
      <c r="B291" s="92"/>
      <c r="I291" s="25"/>
      <c r="J291" s="361" t="s">
        <v>309</v>
      </c>
      <c r="K291" s="361"/>
      <c r="L291" s="361"/>
      <c r="M291" s="361"/>
      <c r="N291" s="361"/>
      <c r="O291" s="361"/>
      <c r="P291" s="361"/>
      <c r="Q291" s="25"/>
    </row>
    <row r="292" spans="1:18" ht="15" customHeight="1" x14ac:dyDescent="0.25">
      <c r="J292" s="25"/>
      <c r="K292" s="25"/>
      <c r="L292" s="25"/>
      <c r="M292" s="25"/>
      <c r="N292" s="25"/>
      <c r="O292" s="25"/>
      <c r="P292" s="25"/>
      <c r="Q292" s="26"/>
      <c r="R292" s="26"/>
    </row>
    <row r="293" spans="1:18" ht="15" customHeight="1" x14ac:dyDescent="0.25">
      <c r="J293" s="25"/>
      <c r="K293" s="25"/>
      <c r="L293" s="25"/>
      <c r="M293" s="25"/>
      <c r="N293" s="25"/>
      <c r="O293" s="25"/>
      <c r="P293" s="25"/>
      <c r="Q293" s="26"/>
      <c r="R293" s="26"/>
    </row>
    <row r="294" spans="1:18" ht="15" customHeight="1" x14ac:dyDescent="0.25">
      <c r="J294" s="25"/>
      <c r="K294" s="25"/>
      <c r="L294" s="25"/>
      <c r="M294" s="25"/>
      <c r="N294" s="25"/>
      <c r="O294" s="25"/>
      <c r="P294" s="25"/>
      <c r="Q294" s="26"/>
      <c r="R294" s="26"/>
    </row>
    <row r="295" spans="1:18" ht="15" customHeight="1" x14ac:dyDescent="0.25">
      <c r="A295" s="25">
        <v>1</v>
      </c>
      <c r="B295" s="87" t="s">
        <v>164</v>
      </c>
      <c r="D295" s="87"/>
      <c r="F295" s="7" t="s">
        <v>272</v>
      </c>
      <c r="J295" s="96"/>
      <c r="K295" s="26"/>
      <c r="L295" s="88"/>
      <c r="M295" s="26"/>
      <c r="N295" s="26"/>
      <c r="O295" s="26"/>
      <c r="P295" s="26"/>
    </row>
    <row r="296" spans="1:18" ht="15" customHeight="1" x14ac:dyDescent="0.25">
      <c r="A296" s="25">
        <v>2</v>
      </c>
      <c r="B296" s="87" t="s">
        <v>165</v>
      </c>
      <c r="F296" s="92" t="s">
        <v>263</v>
      </c>
    </row>
    <row r="297" spans="1:18" ht="15" customHeight="1" x14ac:dyDescent="0.25">
      <c r="A297" s="25">
        <v>3</v>
      </c>
      <c r="B297" s="87" t="s">
        <v>215</v>
      </c>
      <c r="F297" s="92" t="s">
        <v>264</v>
      </c>
    </row>
    <row r="298" spans="1:18" ht="15" customHeight="1" x14ac:dyDescent="0.25">
      <c r="A298" s="25"/>
      <c r="B298" s="87" t="s">
        <v>208</v>
      </c>
      <c r="F298" s="87" t="s">
        <v>168</v>
      </c>
    </row>
    <row r="299" spans="1:18" ht="15" customHeight="1" x14ac:dyDescent="0.25">
      <c r="A299" s="25"/>
      <c r="B299" s="89" t="s">
        <v>166</v>
      </c>
      <c r="F299" s="87" t="s">
        <v>169</v>
      </c>
    </row>
    <row r="300" spans="1:18" ht="15" customHeight="1" x14ac:dyDescent="0.25">
      <c r="B300" s="89" t="s">
        <v>167</v>
      </c>
      <c r="F300" s="87" t="s">
        <v>170</v>
      </c>
    </row>
    <row r="301" spans="1:18" ht="15" customHeight="1" x14ac:dyDescent="0.25">
      <c r="A301" s="25"/>
      <c r="B301" s="95" t="s">
        <v>289</v>
      </c>
    </row>
    <row r="302" spans="1:18" ht="15" customHeight="1" x14ac:dyDescent="0.25">
      <c r="A302" s="25"/>
      <c r="B302" s="89" t="s">
        <v>209</v>
      </c>
      <c r="F302" s="87" t="s">
        <v>12</v>
      </c>
      <c r="G302" s="87" t="s">
        <v>210</v>
      </c>
    </row>
    <row r="303" spans="1:18" ht="15" customHeight="1" x14ac:dyDescent="0.25">
      <c r="A303" s="25">
        <v>4</v>
      </c>
      <c r="B303" s="87" t="s">
        <v>171</v>
      </c>
      <c r="F303" s="87" t="s">
        <v>162</v>
      </c>
      <c r="G303" s="87" t="s">
        <v>190</v>
      </c>
    </row>
    <row r="304" spans="1:18" ht="15" customHeight="1" x14ac:dyDescent="0.25">
      <c r="A304" s="25"/>
      <c r="B304" s="89" t="s">
        <v>172</v>
      </c>
      <c r="F304" s="87" t="s">
        <v>222</v>
      </c>
      <c r="G304" s="87" t="s">
        <v>225</v>
      </c>
    </row>
    <row r="305" spans="1:7" ht="15" customHeight="1" x14ac:dyDescent="0.25">
      <c r="A305" s="25"/>
      <c r="B305" s="89" t="s">
        <v>173</v>
      </c>
      <c r="F305" s="87" t="s">
        <v>223</v>
      </c>
      <c r="G305" s="87" t="s">
        <v>224</v>
      </c>
    </row>
    <row r="306" spans="1:7" ht="15" customHeight="1" x14ac:dyDescent="0.25">
      <c r="A306" s="25"/>
      <c r="B306" s="89" t="s">
        <v>174</v>
      </c>
      <c r="F306" s="87" t="s">
        <v>193</v>
      </c>
      <c r="G306" s="87" t="s">
        <v>194</v>
      </c>
    </row>
    <row r="307" spans="1:7" ht="15" customHeight="1" x14ac:dyDescent="0.25">
      <c r="A307" s="25"/>
      <c r="B307" s="89" t="s">
        <v>211</v>
      </c>
      <c r="F307" s="87" t="s">
        <v>196</v>
      </c>
      <c r="G307" s="87" t="s">
        <v>195</v>
      </c>
    </row>
    <row r="308" spans="1:7" ht="15" customHeight="1" x14ac:dyDescent="0.25">
      <c r="A308" s="25"/>
      <c r="B308" s="89" t="s">
        <v>212</v>
      </c>
      <c r="F308" s="87" t="s">
        <v>206</v>
      </c>
      <c r="G308" s="87" t="s">
        <v>214</v>
      </c>
    </row>
    <row r="309" spans="1:7" ht="15" customHeight="1" x14ac:dyDescent="0.25">
      <c r="A309" s="25">
        <v>5</v>
      </c>
      <c r="B309" s="87" t="s">
        <v>213</v>
      </c>
      <c r="F309" s="87" t="s">
        <v>200</v>
      </c>
      <c r="G309" s="87" t="s">
        <v>207</v>
      </c>
    </row>
    <row r="310" spans="1:7" ht="15" customHeight="1" x14ac:dyDescent="0.25">
      <c r="B310" s="89" t="s">
        <v>175</v>
      </c>
      <c r="F310" s="87" t="s">
        <v>201</v>
      </c>
      <c r="G310" s="87" t="s">
        <v>202</v>
      </c>
    </row>
    <row r="311" spans="1:7" ht="15" customHeight="1" x14ac:dyDescent="0.25">
      <c r="B311" s="89" t="s">
        <v>189</v>
      </c>
      <c r="F311" s="87" t="s">
        <v>238</v>
      </c>
      <c r="G311" s="87" t="s">
        <v>239</v>
      </c>
    </row>
    <row r="312" spans="1:7" ht="15" customHeight="1" x14ac:dyDescent="0.25">
      <c r="B312" s="89" t="s">
        <v>177</v>
      </c>
      <c r="F312" s="87" t="s">
        <v>234</v>
      </c>
      <c r="G312" s="87" t="s">
        <v>235</v>
      </c>
    </row>
    <row r="313" spans="1:7" ht="15" customHeight="1" x14ac:dyDescent="0.25">
      <c r="A313" s="25"/>
      <c r="B313" s="89" t="s">
        <v>216</v>
      </c>
      <c r="F313" s="87" t="s">
        <v>197</v>
      </c>
      <c r="G313" s="87" t="s">
        <v>198</v>
      </c>
    </row>
    <row r="314" spans="1:7" ht="15" customHeight="1" x14ac:dyDescent="0.25">
      <c r="A314" s="25"/>
      <c r="B314" s="89" t="s">
        <v>226</v>
      </c>
      <c r="F314" s="87" t="s">
        <v>247</v>
      </c>
      <c r="G314" s="87" t="s">
        <v>248</v>
      </c>
    </row>
    <row r="315" spans="1:7" ht="15" customHeight="1" x14ac:dyDescent="0.25">
      <c r="A315" s="25">
        <v>6</v>
      </c>
      <c r="B315" s="87" t="s">
        <v>176</v>
      </c>
      <c r="F315" s="87" t="s">
        <v>199</v>
      </c>
      <c r="G315" s="87" t="s">
        <v>204</v>
      </c>
    </row>
    <row r="316" spans="1:7" ht="15" customHeight="1" x14ac:dyDescent="0.25">
      <c r="A316" s="25"/>
      <c r="B316" s="89" t="s">
        <v>228</v>
      </c>
      <c r="F316" s="87" t="s">
        <v>203</v>
      </c>
      <c r="G316" s="87" t="s">
        <v>205</v>
      </c>
    </row>
    <row r="317" spans="1:7" ht="15" customHeight="1" x14ac:dyDescent="0.25">
      <c r="B317" s="89" t="s">
        <v>178</v>
      </c>
      <c r="F317" s="87" t="s">
        <v>9</v>
      </c>
      <c r="G317" s="87" t="s">
        <v>254</v>
      </c>
    </row>
    <row r="318" spans="1:7" ht="15" customHeight="1" x14ac:dyDescent="0.25">
      <c r="B318" s="89" t="s">
        <v>227</v>
      </c>
      <c r="F318" s="87" t="s">
        <v>253</v>
      </c>
      <c r="G318" s="87" t="s">
        <v>255</v>
      </c>
    </row>
    <row r="319" spans="1:7" ht="15" customHeight="1" x14ac:dyDescent="0.25">
      <c r="B319" s="89" t="s">
        <v>218</v>
      </c>
      <c r="F319" s="87" t="s">
        <v>191</v>
      </c>
      <c r="G319" s="87" t="s">
        <v>192</v>
      </c>
    </row>
    <row r="320" spans="1:7" ht="15" customHeight="1" x14ac:dyDescent="0.25">
      <c r="B320" s="89" t="s">
        <v>217</v>
      </c>
    </row>
    <row r="321" spans="1:2" ht="15" customHeight="1" x14ac:dyDescent="0.25">
      <c r="A321" s="25">
        <v>7</v>
      </c>
      <c r="B321" s="87" t="s">
        <v>219</v>
      </c>
    </row>
    <row r="322" spans="1:2" ht="15" customHeight="1" x14ac:dyDescent="0.25">
      <c r="A322" s="25"/>
      <c r="B322" s="89" t="s">
        <v>220</v>
      </c>
    </row>
    <row r="323" spans="1:2" ht="15" customHeight="1" x14ac:dyDescent="0.25">
      <c r="A323" s="25"/>
      <c r="B323" s="89" t="s">
        <v>229</v>
      </c>
    </row>
    <row r="324" spans="1:2" ht="15" customHeight="1" x14ac:dyDescent="0.25">
      <c r="A324" s="25"/>
      <c r="B324" s="89" t="s">
        <v>221</v>
      </c>
    </row>
    <row r="325" spans="1:2" ht="15" customHeight="1" x14ac:dyDescent="0.25">
      <c r="A325" s="25"/>
      <c r="B325" s="89" t="s">
        <v>230</v>
      </c>
    </row>
    <row r="326" spans="1:2" ht="15" customHeight="1" x14ac:dyDescent="0.25">
      <c r="A326" s="25"/>
      <c r="B326" s="89" t="s">
        <v>231</v>
      </c>
    </row>
    <row r="327" spans="1:2" ht="15" customHeight="1" x14ac:dyDescent="0.25">
      <c r="B327" s="95" t="s">
        <v>290</v>
      </c>
    </row>
    <row r="328" spans="1:2" ht="15" customHeight="1" x14ac:dyDescent="0.25">
      <c r="B328" s="89" t="s">
        <v>232</v>
      </c>
    </row>
    <row r="329" spans="1:2" ht="15" customHeight="1" x14ac:dyDescent="0.25">
      <c r="B329" s="90" t="s">
        <v>233</v>
      </c>
    </row>
    <row r="330" spans="1:2" ht="15" customHeight="1" x14ac:dyDescent="0.25">
      <c r="B330" s="89" t="s">
        <v>236</v>
      </c>
    </row>
    <row r="331" spans="1:2" ht="15" customHeight="1" x14ac:dyDescent="0.25">
      <c r="B331" s="89" t="s">
        <v>237</v>
      </c>
    </row>
    <row r="332" spans="1:2" ht="15" customHeight="1" x14ac:dyDescent="0.25">
      <c r="B332" s="89" t="s">
        <v>221</v>
      </c>
    </row>
    <row r="333" spans="1:2" ht="15" customHeight="1" x14ac:dyDescent="0.25">
      <c r="A333" s="25">
        <v>8</v>
      </c>
      <c r="B333" s="87" t="s">
        <v>240</v>
      </c>
    </row>
    <row r="334" spans="1:2" ht="15" customHeight="1" x14ac:dyDescent="0.25">
      <c r="B334" s="89" t="s">
        <v>241</v>
      </c>
    </row>
    <row r="335" spans="1:2" ht="15" customHeight="1" x14ac:dyDescent="0.25">
      <c r="B335" s="89" t="s">
        <v>242</v>
      </c>
    </row>
    <row r="336" spans="1:2" ht="15" customHeight="1" x14ac:dyDescent="0.25">
      <c r="B336" s="89" t="s">
        <v>243</v>
      </c>
    </row>
    <row r="337" spans="1:2" ht="15" customHeight="1" x14ac:dyDescent="0.25">
      <c r="B337" s="89" t="s">
        <v>244</v>
      </c>
    </row>
    <row r="338" spans="1:2" ht="15" customHeight="1" x14ac:dyDescent="0.25">
      <c r="B338" s="89" t="s">
        <v>245</v>
      </c>
    </row>
    <row r="339" spans="1:2" ht="15" customHeight="1" x14ac:dyDescent="0.25">
      <c r="B339" s="90" t="s">
        <v>179</v>
      </c>
    </row>
    <row r="340" spans="1:2" ht="15" customHeight="1" x14ac:dyDescent="0.25">
      <c r="B340" s="90" t="s">
        <v>180</v>
      </c>
    </row>
    <row r="341" spans="1:2" ht="15" customHeight="1" x14ac:dyDescent="0.25">
      <c r="B341" s="87" t="s">
        <v>246</v>
      </c>
    </row>
    <row r="342" spans="1:2" ht="15" customHeight="1" x14ac:dyDescent="0.25">
      <c r="A342" s="25"/>
      <c r="B342" s="90" t="s">
        <v>249</v>
      </c>
    </row>
    <row r="343" spans="1:2" ht="15" customHeight="1" x14ac:dyDescent="0.25">
      <c r="A343" s="25">
        <v>8</v>
      </c>
      <c r="B343" s="87" t="s">
        <v>181</v>
      </c>
    </row>
    <row r="344" spans="1:2" ht="15" customHeight="1" x14ac:dyDescent="0.25">
      <c r="B344" s="89" t="s">
        <v>256</v>
      </c>
    </row>
    <row r="345" spans="1:2" ht="15" customHeight="1" x14ac:dyDescent="0.25">
      <c r="B345" s="89" t="s">
        <v>257</v>
      </c>
    </row>
    <row r="346" spans="1:2" ht="15" customHeight="1" x14ac:dyDescent="0.25">
      <c r="A346" s="25">
        <v>9</v>
      </c>
      <c r="B346" s="87" t="s">
        <v>182</v>
      </c>
    </row>
    <row r="347" spans="1:2" ht="15" customHeight="1" x14ac:dyDescent="0.25">
      <c r="B347" s="89" t="s">
        <v>183</v>
      </c>
    </row>
    <row r="348" spans="1:2" ht="15" customHeight="1" x14ac:dyDescent="0.25">
      <c r="B348" s="89" t="s">
        <v>250</v>
      </c>
    </row>
    <row r="349" spans="1:2" ht="15" customHeight="1" x14ac:dyDescent="0.25">
      <c r="B349" s="89" t="s">
        <v>184</v>
      </c>
    </row>
    <row r="350" spans="1:2" ht="15" customHeight="1" x14ac:dyDescent="0.25">
      <c r="B350" s="89" t="s">
        <v>251</v>
      </c>
    </row>
    <row r="351" spans="1:2" ht="15" customHeight="1" x14ac:dyDescent="0.25">
      <c r="B351" s="89" t="s">
        <v>252</v>
      </c>
    </row>
    <row r="352" spans="1:2" ht="15" customHeight="1" x14ac:dyDescent="0.25">
      <c r="A352" s="25">
        <v>10</v>
      </c>
      <c r="B352" s="87" t="s">
        <v>185</v>
      </c>
    </row>
    <row r="353" spans="2:2" ht="15" customHeight="1" x14ac:dyDescent="0.25">
      <c r="B353" s="89" t="s">
        <v>188</v>
      </c>
    </row>
    <row r="354" spans="2:2" ht="15" customHeight="1" x14ac:dyDescent="0.25">
      <c r="B354" s="89" t="s">
        <v>186</v>
      </c>
    </row>
    <row r="355" spans="2:2" ht="15" customHeight="1" x14ac:dyDescent="0.25">
      <c r="B355" s="89" t="s">
        <v>187</v>
      </c>
    </row>
  </sheetData>
  <mergeCells count="30">
    <mergeCell ref="B2:O2"/>
    <mergeCell ref="B117:X117"/>
    <mergeCell ref="Z117:AC117"/>
    <mergeCell ref="B193:X193"/>
    <mergeCell ref="B275:H275"/>
    <mergeCell ref="J275:P275"/>
    <mergeCell ref="R275:X275"/>
    <mergeCell ref="R231:X231"/>
    <mergeCell ref="B262:H262"/>
    <mergeCell ref="J262:P262"/>
    <mergeCell ref="R262:X262"/>
    <mergeCell ref="B249:H249"/>
    <mergeCell ref="J249:P249"/>
    <mergeCell ref="R249:X249"/>
    <mergeCell ref="J291:P291"/>
    <mergeCell ref="B204:H204"/>
    <mergeCell ref="J204:P204"/>
    <mergeCell ref="R204:X204"/>
    <mergeCell ref="B222:H222"/>
    <mergeCell ref="J222:P222"/>
    <mergeCell ref="R222:X222"/>
    <mergeCell ref="B213:H213"/>
    <mergeCell ref="J213:P213"/>
    <mergeCell ref="R213:X213"/>
    <mergeCell ref="B240:H240"/>
    <mergeCell ref="J240:P240"/>
    <mergeCell ref="R240:X240"/>
    <mergeCell ref="J284:P284"/>
    <mergeCell ref="B231:H231"/>
    <mergeCell ref="J231:P231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  <ignoredErrors>
    <ignoredError sqref="O88:U8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X245"/>
  <sheetViews>
    <sheetView showGridLines="0" workbookViewId="0">
      <selection activeCell="A2" sqref="A2"/>
    </sheetView>
  </sheetViews>
  <sheetFormatPr baseColWidth="10" defaultRowHeight="15" customHeight="1" x14ac:dyDescent="0.25"/>
  <cols>
    <col min="1" max="1" width="11.42578125" style="15"/>
    <col min="2" max="2" width="15.7109375" style="15" customWidth="1"/>
    <col min="3" max="3" width="11.42578125" style="15"/>
    <col min="4" max="5" width="12" style="15" bestFit="1" customWidth="1"/>
    <col min="6" max="7" width="11.42578125" style="15"/>
    <col min="8" max="8" width="11.42578125" style="15" customWidth="1"/>
    <col min="9" max="9" width="11.42578125" style="15"/>
    <col min="10" max="10" width="15.7109375" style="15" customWidth="1"/>
    <col min="11" max="17" width="11.42578125" style="15"/>
    <col min="18" max="18" width="15.7109375" style="15" customWidth="1"/>
    <col min="19" max="16384" width="11.42578125" style="15"/>
  </cols>
  <sheetData>
    <row r="2" spans="1:24" s="203" customFormat="1" ht="15" customHeight="1" x14ac:dyDescent="0.25">
      <c r="A2" s="202" t="s">
        <v>357</v>
      </c>
      <c r="B2" s="364" t="s">
        <v>365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</row>
    <row r="4" spans="1:24" ht="15" customHeight="1" x14ac:dyDescent="0.25">
      <c r="B4" s="157" t="s">
        <v>8</v>
      </c>
      <c r="C4" s="158" t="s">
        <v>37</v>
      </c>
      <c r="D4" s="158" t="s">
        <v>38</v>
      </c>
      <c r="E4" s="158" t="s">
        <v>345</v>
      </c>
      <c r="F4" s="158" t="s">
        <v>20</v>
      </c>
      <c r="G4" s="158" t="s">
        <v>346</v>
      </c>
      <c r="H4" s="158" t="s">
        <v>347</v>
      </c>
      <c r="J4" s="157" t="str">
        <f>B4</f>
        <v>Etudes</v>
      </c>
      <c r="K4" s="158" t="s">
        <v>37</v>
      </c>
      <c r="L4" s="158" t="s">
        <v>38</v>
      </c>
      <c r="M4" s="158" t="s">
        <v>345</v>
      </c>
      <c r="N4" s="158" t="s">
        <v>20</v>
      </c>
      <c r="O4" s="158" t="s">
        <v>346</v>
      </c>
      <c r="P4" s="158" t="s">
        <v>347</v>
      </c>
      <c r="R4" s="157" t="str">
        <f>B4</f>
        <v>Etudes</v>
      </c>
      <c r="S4" s="158" t="s">
        <v>37</v>
      </c>
      <c r="T4" s="158" t="s">
        <v>38</v>
      </c>
      <c r="U4" s="158" t="s">
        <v>345</v>
      </c>
      <c r="V4" s="158" t="s">
        <v>20</v>
      </c>
      <c r="W4" s="158" t="s">
        <v>346</v>
      </c>
      <c r="X4" s="158" t="s">
        <v>347</v>
      </c>
    </row>
    <row r="5" spans="1:24" ht="15" customHeight="1" x14ac:dyDescent="0.25">
      <c r="B5" s="111" t="s">
        <v>62</v>
      </c>
      <c r="C5" s="150" t="s">
        <v>160</v>
      </c>
      <c r="D5" s="151" t="s">
        <v>161</v>
      </c>
      <c r="E5" s="149" t="s">
        <v>156</v>
      </c>
      <c r="F5" s="149" t="s">
        <v>146</v>
      </c>
      <c r="G5" s="152" t="s">
        <v>78</v>
      </c>
      <c r="H5" s="152" t="s">
        <v>148</v>
      </c>
      <c r="J5" s="111" t="s">
        <v>63</v>
      </c>
      <c r="K5" s="150" t="s">
        <v>160</v>
      </c>
      <c r="L5" s="151" t="s">
        <v>161</v>
      </c>
      <c r="M5" s="149" t="s">
        <v>156</v>
      </c>
      <c r="N5" s="149" t="s">
        <v>146</v>
      </c>
      <c r="O5" s="152" t="s">
        <v>78</v>
      </c>
      <c r="P5" s="152" t="s">
        <v>148</v>
      </c>
      <c r="R5" s="111" t="s">
        <v>7</v>
      </c>
      <c r="S5" s="150" t="s">
        <v>160</v>
      </c>
      <c r="T5" s="151" t="s">
        <v>161</v>
      </c>
      <c r="U5" s="149" t="s">
        <v>156</v>
      </c>
      <c r="V5" s="149" t="s">
        <v>146</v>
      </c>
      <c r="W5" s="152" t="s">
        <v>78</v>
      </c>
      <c r="X5" s="152" t="s">
        <v>148</v>
      </c>
    </row>
    <row r="6" spans="1:24" ht="15" customHeight="1" x14ac:dyDescent="0.25">
      <c r="B6" s="175" t="s">
        <v>10</v>
      </c>
      <c r="C6" s="116" t="e">
        <f>MSE!C197</f>
        <v>#REF!</v>
      </c>
      <c r="D6" s="153" t="e">
        <f>#REF!/#REF!</f>
        <v>#REF!</v>
      </c>
      <c r="E6" s="116" t="e">
        <f>MSE!E197</f>
        <v>#REF!</v>
      </c>
      <c r="F6" s="116" t="e">
        <f>MSE!F197</f>
        <v>#REF!</v>
      </c>
      <c r="G6" s="116" t="e">
        <f>E6+F6</f>
        <v>#REF!</v>
      </c>
      <c r="H6" s="116" t="e">
        <f>G6-C6</f>
        <v>#REF!</v>
      </c>
      <c r="J6" s="175" t="s">
        <v>10</v>
      </c>
      <c r="K6" s="116" t="e">
        <f>MSE!K197</f>
        <v>#REF!</v>
      </c>
      <c r="L6" s="153" t="e">
        <f>#REF!/#REF!</f>
        <v>#REF!</v>
      </c>
      <c r="M6" s="116" t="e">
        <f>MSE!M197</f>
        <v>#REF!</v>
      </c>
      <c r="N6" s="116" t="e">
        <f>MSE!N197</f>
        <v>#REF!</v>
      </c>
      <c r="O6" s="116" t="e">
        <f>M6+N6</f>
        <v>#REF!</v>
      </c>
      <c r="P6" s="116" t="e">
        <f>O6-K6</f>
        <v>#REF!</v>
      </c>
      <c r="R6" s="175" t="s">
        <v>10</v>
      </c>
      <c r="S6" s="116" t="e">
        <f>C6+K6</f>
        <v>#REF!</v>
      </c>
      <c r="T6" s="153" t="e">
        <f>IF(S6=0,0,U6/S6)</f>
        <v>#REF!</v>
      </c>
      <c r="U6" s="116" t="e">
        <f>E6+M6</f>
        <v>#REF!</v>
      </c>
      <c r="V6" s="116" t="e">
        <f t="shared" ref="V6:V7" si="0">F6+N6</f>
        <v>#REF!</v>
      </c>
      <c r="W6" s="116" t="e">
        <f>U6+V6</f>
        <v>#REF!</v>
      </c>
      <c r="X6" s="116" t="e">
        <f>W6-S6</f>
        <v>#REF!</v>
      </c>
    </row>
    <row r="7" spans="1:24" ht="15" customHeight="1" x14ac:dyDescent="0.25">
      <c r="B7" s="175" t="s">
        <v>287</v>
      </c>
      <c r="C7" s="116" t="e">
        <f>MSE!C198+MSE!C200+MSE!C201</f>
        <v>#REF!</v>
      </c>
      <c r="D7" s="153" t="e">
        <f>#REF!/#REF!</f>
        <v>#REF!</v>
      </c>
      <c r="E7" s="116" t="e">
        <f>MSE!E198+MSE!E200+MSE!E201</f>
        <v>#REF!</v>
      </c>
      <c r="F7" s="116" t="e">
        <f>MSE!F198+MSE!F200+MSE!F201</f>
        <v>#REF!</v>
      </c>
      <c r="G7" s="116" t="e">
        <f t="shared" ref="G7" si="1">E7+F7</f>
        <v>#REF!</v>
      </c>
      <c r="H7" s="116" t="e">
        <f t="shared" ref="H7" si="2">G7-C7</f>
        <v>#REF!</v>
      </c>
      <c r="J7" s="175" t="s">
        <v>287</v>
      </c>
      <c r="K7" s="116" t="e">
        <f>MSE!K198+MSE!K200+MSE!K201</f>
        <v>#REF!</v>
      </c>
      <c r="L7" s="153" t="e">
        <f>#REF!/#REF!</f>
        <v>#REF!</v>
      </c>
      <c r="M7" s="116" t="e">
        <f>MSE!M198+MSE!M200+MSE!M201</f>
        <v>#REF!</v>
      </c>
      <c r="N7" s="116" t="e">
        <f>MSE!N198+MSE!N200+MSE!N201</f>
        <v>#REF!</v>
      </c>
      <c r="O7" s="116" t="e">
        <f t="shared" ref="O7" si="3">M7+N7</f>
        <v>#REF!</v>
      </c>
      <c r="P7" s="116" t="e">
        <f t="shared" ref="P7" si="4">O7-K7</f>
        <v>#REF!</v>
      </c>
      <c r="R7" s="175" t="s">
        <v>287</v>
      </c>
      <c r="S7" s="116" t="e">
        <f t="shared" ref="S7" si="5">C7+K7</f>
        <v>#REF!</v>
      </c>
      <c r="T7" s="153" t="e">
        <f t="shared" ref="T7:T11" si="6">IF(S7=0,0,U7/S7)</f>
        <v>#REF!</v>
      </c>
      <c r="U7" s="116" t="e">
        <f t="shared" ref="U7" si="7">E7+M7</f>
        <v>#REF!</v>
      </c>
      <c r="V7" s="116" t="e">
        <f t="shared" si="0"/>
        <v>#REF!</v>
      </c>
      <c r="W7" s="116" t="e">
        <f t="shared" ref="W7" si="8">U7+V7</f>
        <v>#REF!</v>
      </c>
      <c r="X7" s="116" t="e">
        <f t="shared" ref="X7" si="9">W7-S7</f>
        <v>#REF!</v>
      </c>
    </row>
    <row r="8" spans="1:24" ht="15" customHeight="1" x14ac:dyDescent="0.25">
      <c r="B8" s="175" t="s">
        <v>288</v>
      </c>
      <c r="C8" s="116">
        <f>MSE!C199</f>
        <v>56775</v>
      </c>
      <c r="D8" s="153" t="e">
        <f>#REF!/#REF!</f>
        <v>#REF!</v>
      </c>
      <c r="E8" s="116" t="e">
        <f>MSE!E199</f>
        <v>#REF!</v>
      </c>
      <c r="F8" s="116">
        <f>MSE!F199</f>
        <v>56775</v>
      </c>
      <c r="G8" s="116" t="e">
        <f>E8+F8</f>
        <v>#REF!</v>
      </c>
      <c r="H8" s="116" t="e">
        <f>G8-C8</f>
        <v>#REF!</v>
      </c>
      <c r="J8" s="175" t="s">
        <v>288</v>
      </c>
      <c r="K8" s="116">
        <f>MSE!K199</f>
        <v>0</v>
      </c>
      <c r="L8" s="153" t="e">
        <f>#REF!/#REF!</f>
        <v>#REF!</v>
      </c>
      <c r="M8" s="116" t="e">
        <f>MSE!M199</f>
        <v>#REF!</v>
      </c>
      <c r="N8" s="116">
        <f>MSE!N199</f>
        <v>0</v>
      </c>
      <c r="O8" s="116" t="e">
        <f>M8+N8</f>
        <v>#REF!</v>
      </c>
      <c r="P8" s="116" t="e">
        <f>O8-K8</f>
        <v>#REF!</v>
      </c>
      <c r="R8" s="175" t="s">
        <v>288</v>
      </c>
      <c r="S8" s="116">
        <f>C8+K8</f>
        <v>56775</v>
      </c>
      <c r="T8" s="153" t="e">
        <f>IF(S8=0,0,U8/S8)</f>
        <v>#REF!</v>
      </c>
      <c r="U8" s="116" t="e">
        <f>E8+M8</f>
        <v>#REF!</v>
      </c>
      <c r="V8" s="116">
        <f>F8+N8</f>
        <v>56775</v>
      </c>
      <c r="W8" s="116" t="e">
        <f>U8+V8</f>
        <v>#REF!</v>
      </c>
      <c r="X8" s="116" t="e">
        <f>W8-S8</f>
        <v>#REF!</v>
      </c>
    </row>
    <row r="9" spans="1:24" ht="15" customHeight="1" x14ac:dyDescent="0.25">
      <c r="B9" s="134" t="s">
        <v>155</v>
      </c>
      <c r="C9" s="116">
        <f>MSE!C202</f>
        <v>0</v>
      </c>
      <c r="D9" s="153" t="e">
        <f>#REF!/#REF!</f>
        <v>#REF!</v>
      </c>
      <c r="E9" s="116" t="e">
        <f>MSE!E202</f>
        <v>#REF!</v>
      </c>
      <c r="F9" s="116">
        <f>MSE!F202</f>
        <v>49000</v>
      </c>
      <c r="G9" s="116" t="e">
        <f>E9+F9</f>
        <v>#REF!</v>
      </c>
      <c r="H9" s="116" t="e">
        <f>G9-C9</f>
        <v>#REF!</v>
      </c>
      <c r="J9" s="134" t="s">
        <v>155</v>
      </c>
      <c r="K9" s="116">
        <f>MSE!K202</f>
        <v>0</v>
      </c>
      <c r="L9" s="153" t="e">
        <f>#REF!/#REF!</f>
        <v>#REF!</v>
      </c>
      <c r="M9" s="116" t="e">
        <f>MSE!M202</f>
        <v>#REF!</v>
      </c>
      <c r="N9" s="116">
        <f>MSE!N202</f>
        <v>10500</v>
      </c>
      <c r="O9" s="116" t="e">
        <f>M9+N9</f>
        <v>#REF!</v>
      </c>
      <c r="P9" s="116" t="e">
        <f>O9-K9</f>
        <v>#REF!</v>
      </c>
      <c r="R9" s="134" t="s">
        <v>155</v>
      </c>
      <c r="S9" s="116">
        <f>C9+K9</f>
        <v>0</v>
      </c>
      <c r="T9" s="153">
        <f>IF(S9=0,0,U9/S9)</f>
        <v>0</v>
      </c>
      <c r="U9" s="116" t="e">
        <f>E9+M9</f>
        <v>#REF!</v>
      </c>
      <c r="V9" s="116">
        <f>F9+N9</f>
        <v>59500</v>
      </c>
      <c r="W9" s="116" t="e">
        <f>U9+V9</f>
        <v>#REF!</v>
      </c>
      <c r="X9" s="116" t="e">
        <f>W9-S9</f>
        <v>#REF!</v>
      </c>
    </row>
    <row r="10" spans="1:24" ht="15" customHeight="1" x14ac:dyDescent="0.25">
      <c r="B10" s="111" t="s">
        <v>163</v>
      </c>
      <c r="C10" s="125" t="e">
        <f>SUM(C6:C9)</f>
        <v>#REF!</v>
      </c>
      <c r="D10" s="155" t="e">
        <f>IF(C10=0,0,E10/C10)</f>
        <v>#REF!</v>
      </c>
      <c r="E10" s="125" t="e">
        <f>SUM(E6:E9)</f>
        <v>#REF!</v>
      </c>
      <c r="F10" s="125" t="e">
        <f>SUM(F6:F9)</f>
        <v>#REF!</v>
      </c>
      <c r="G10" s="125" t="e">
        <f>SUM(G6:G9)</f>
        <v>#REF!</v>
      </c>
      <c r="H10" s="125" t="e">
        <f>SUM(H6:H9)</f>
        <v>#REF!</v>
      </c>
      <c r="J10" s="111" t="s">
        <v>163</v>
      </c>
      <c r="K10" s="125" t="e">
        <f>SUM(K6:K9)</f>
        <v>#REF!</v>
      </c>
      <c r="L10" s="155" t="e">
        <f t="shared" ref="L10" si="10">IF(K10=0,0,M10/K10)</f>
        <v>#REF!</v>
      </c>
      <c r="M10" s="125" t="e">
        <f>SUM(M6:M9)</f>
        <v>#REF!</v>
      </c>
      <c r="N10" s="125" t="e">
        <f>SUM(N6:N9)</f>
        <v>#REF!</v>
      </c>
      <c r="O10" s="125" t="e">
        <f>SUM(O6:O9)</f>
        <v>#REF!</v>
      </c>
      <c r="P10" s="125" t="e">
        <f>SUM(P6:P9)</f>
        <v>#REF!</v>
      </c>
      <c r="R10" s="111" t="s">
        <v>163</v>
      </c>
      <c r="S10" s="125" t="e">
        <f>SUM(S6:S9)</f>
        <v>#REF!</v>
      </c>
      <c r="T10" s="155" t="e">
        <f t="shared" si="6"/>
        <v>#REF!</v>
      </c>
      <c r="U10" s="125" t="e">
        <f>SUM(U6:U9)</f>
        <v>#REF!</v>
      </c>
      <c r="V10" s="125" t="e">
        <f>SUM(V6:V9)</f>
        <v>#REF!</v>
      </c>
      <c r="W10" s="125" t="e">
        <f>SUM(W6:W9)</f>
        <v>#REF!</v>
      </c>
      <c r="X10" s="125" t="e">
        <f>SUM(X6:X9)</f>
        <v>#REF!</v>
      </c>
    </row>
    <row r="11" spans="1:24" ht="15" customHeight="1" x14ac:dyDescent="0.25">
      <c r="B11" s="111" t="s">
        <v>286</v>
      </c>
      <c r="C11" s="125" t="e">
        <f>MSE!C261</f>
        <v>#REF!</v>
      </c>
      <c r="D11" s="155" t="e">
        <f>IF(C11=0,0,E11/C11)</f>
        <v>#REF!</v>
      </c>
      <c r="E11" s="125" t="e">
        <f>MSE!E261</f>
        <v>#REF!</v>
      </c>
      <c r="F11" s="125" t="e">
        <f>MSE!F261</f>
        <v>#REF!</v>
      </c>
      <c r="G11" s="125" t="e">
        <f>E11+F11</f>
        <v>#REF!</v>
      </c>
      <c r="H11" s="125" t="e">
        <f>G11-C11</f>
        <v>#REF!</v>
      </c>
      <c r="J11" s="111" t="s">
        <v>286</v>
      </c>
      <c r="K11" s="125" t="e">
        <f>MSE!K261</f>
        <v>#REF!</v>
      </c>
      <c r="L11" s="155" t="e">
        <f>IF(K11=0,0,M11/K11)</f>
        <v>#REF!</v>
      </c>
      <c r="M11" s="125" t="e">
        <f>MSE!M261</f>
        <v>#REF!</v>
      </c>
      <c r="N11" s="125" t="e">
        <f>MSE!N261</f>
        <v>#REF!</v>
      </c>
      <c r="O11" s="125" t="e">
        <f>M11+N11</f>
        <v>#REF!</v>
      </c>
      <c r="P11" s="125" t="e">
        <f>O11-K11</f>
        <v>#REF!</v>
      </c>
      <c r="R11" s="111" t="s">
        <v>286</v>
      </c>
      <c r="S11" s="125" t="e">
        <f>C11+K11</f>
        <v>#REF!</v>
      </c>
      <c r="T11" s="155" t="e">
        <f t="shared" si="6"/>
        <v>#REF!</v>
      </c>
      <c r="U11" s="125" t="e">
        <f t="shared" ref="U11:V11" si="11">E11+M11</f>
        <v>#REF!</v>
      </c>
      <c r="V11" s="125" t="e">
        <f t="shared" si="11"/>
        <v>#REF!</v>
      </c>
      <c r="W11" s="125" t="e">
        <f>U11+V11</f>
        <v>#REF!</v>
      </c>
      <c r="X11" s="125" t="e">
        <f>W11-S11</f>
        <v>#REF!</v>
      </c>
    </row>
    <row r="12" spans="1:24" ht="15" customHeight="1" x14ac:dyDescent="0.25">
      <c r="B12" s="111" t="s">
        <v>11</v>
      </c>
      <c r="C12" s="176" t="e">
        <f>IF(C11=0,0,C10/C11)</f>
        <v>#REF!</v>
      </c>
      <c r="D12" s="155" t="s">
        <v>65</v>
      </c>
      <c r="E12" s="176" t="e">
        <f>IF(E11=0,0,E10/E11)</f>
        <v>#REF!</v>
      </c>
      <c r="F12" s="176" t="e">
        <f>IF(F11=0,0,F10/F11)</f>
        <v>#REF!</v>
      </c>
      <c r="G12" s="176" t="e">
        <f>IF(G11=0,0,G10/G11)</f>
        <v>#REF!</v>
      </c>
      <c r="H12" s="176" t="s">
        <v>65</v>
      </c>
      <c r="J12" s="111" t="s">
        <v>11</v>
      </c>
      <c r="K12" s="176" t="e">
        <f>IF(K11=0,0,K10/K11)</f>
        <v>#REF!</v>
      </c>
      <c r="L12" s="155" t="s">
        <v>65</v>
      </c>
      <c r="M12" s="176" t="e">
        <f>IF(M11=0,0,M10/M11)</f>
        <v>#REF!</v>
      </c>
      <c r="N12" s="176" t="e">
        <f>IF(N11=0,0,N10/N11)</f>
        <v>#REF!</v>
      </c>
      <c r="O12" s="176" t="e">
        <f>IF(O11=0,0,O10/O11)</f>
        <v>#REF!</v>
      </c>
      <c r="P12" s="176" t="s">
        <v>65</v>
      </c>
      <c r="R12" s="111" t="s">
        <v>11</v>
      </c>
      <c r="S12" s="176" t="e">
        <f>IF(S11=0,0,S10/S11)</f>
        <v>#REF!</v>
      </c>
      <c r="T12" s="155" t="s">
        <v>65</v>
      </c>
      <c r="U12" s="176" t="e">
        <f>IF(U11=0,0,U10/U11)</f>
        <v>#REF!</v>
      </c>
      <c r="V12" s="176" t="e">
        <f>IF(V11=0,0,V10/V11)</f>
        <v>#REF!</v>
      </c>
      <c r="W12" s="176" t="e">
        <f>IF(W11=0,0,W10/W11)</f>
        <v>#REF!</v>
      </c>
      <c r="X12" s="176" t="s">
        <v>65</v>
      </c>
    </row>
    <row r="13" spans="1:24" ht="15" customHeight="1" x14ac:dyDescent="0.25">
      <c r="B13" s="362" t="s">
        <v>258</v>
      </c>
      <c r="C13" s="362"/>
      <c r="D13" s="362"/>
      <c r="E13" s="362"/>
      <c r="F13" s="362"/>
      <c r="G13" s="362"/>
      <c r="H13" s="362"/>
      <c r="J13" s="361" t="s">
        <v>47</v>
      </c>
      <c r="K13" s="361"/>
      <c r="L13" s="361"/>
      <c r="M13" s="361"/>
      <c r="N13" s="361"/>
      <c r="O13" s="361"/>
      <c r="P13" s="361"/>
      <c r="R13" s="363" t="s">
        <v>259</v>
      </c>
      <c r="S13" s="363"/>
      <c r="T13" s="363"/>
      <c r="U13" s="363"/>
      <c r="V13" s="363"/>
      <c r="W13" s="363"/>
      <c r="X13" s="363"/>
    </row>
    <row r="16" spans="1:24" ht="15" customHeight="1" x14ac:dyDescent="0.25">
      <c r="B16" s="189" t="s">
        <v>352</v>
      </c>
      <c r="C16" s="188"/>
      <c r="D16" s="188"/>
      <c r="E16" s="188"/>
      <c r="F16" s="188"/>
      <c r="G16" s="188"/>
      <c r="H16" s="188"/>
      <c r="J16" s="190" t="str">
        <f>B16</f>
        <v>taux de cofinancement</v>
      </c>
      <c r="K16" s="191"/>
      <c r="L16" s="191"/>
      <c r="M16" s="191"/>
      <c r="N16" s="191"/>
      <c r="O16" s="191"/>
      <c r="P16" s="191"/>
      <c r="R16" s="122" t="str">
        <f>B16</f>
        <v>taux de cofinancement</v>
      </c>
      <c r="S16" s="192"/>
      <c r="T16" s="192"/>
      <c r="U16" s="192"/>
      <c r="V16" s="192"/>
      <c r="W16" s="192"/>
      <c r="X16" s="192"/>
    </row>
    <row r="17" spans="2:24" ht="15" customHeight="1" x14ac:dyDescent="0.25">
      <c r="B17" s="111" t="s">
        <v>62</v>
      </c>
      <c r="C17" s="177">
        <v>2020</v>
      </c>
      <c r="D17" s="177" t="s">
        <v>11</v>
      </c>
      <c r="E17" s="177">
        <v>2021</v>
      </c>
      <c r="F17" s="177" t="s">
        <v>11</v>
      </c>
      <c r="G17" s="177" t="s">
        <v>275</v>
      </c>
      <c r="H17" s="177" t="s">
        <v>11</v>
      </c>
      <c r="J17" s="111" t="s">
        <v>63</v>
      </c>
      <c r="K17" s="181">
        <v>2020</v>
      </c>
      <c r="L17" s="181" t="s">
        <v>11</v>
      </c>
      <c r="M17" s="181">
        <v>2021</v>
      </c>
      <c r="N17" s="181" t="s">
        <v>11</v>
      </c>
      <c r="O17" s="181" t="s">
        <v>275</v>
      </c>
      <c r="P17" s="181" t="s">
        <v>11</v>
      </c>
      <c r="R17" s="111" t="s">
        <v>7</v>
      </c>
      <c r="S17" s="182">
        <v>2020</v>
      </c>
      <c r="T17" s="182" t="s">
        <v>11</v>
      </c>
      <c r="U17" s="182">
        <v>2021</v>
      </c>
      <c r="V17" s="182" t="s">
        <v>11</v>
      </c>
      <c r="W17" s="182" t="s">
        <v>275</v>
      </c>
      <c r="X17" s="182" t="s">
        <v>11</v>
      </c>
    </row>
    <row r="18" spans="2:24" ht="15" customHeight="1" x14ac:dyDescent="0.25">
      <c r="B18" s="178" t="s">
        <v>280</v>
      </c>
      <c r="C18" s="116" t="e">
        <f>#REF!</f>
        <v>#REF!</v>
      </c>
      <c r="D18" s="179" t="e">
        <f>IF(C20=0,0,C18/C20)</f>
        <v>#REF!</v>
      </c>
      <c r="E18" s="116" t="e">
        <f>#REF!</f>
        <v>#REF!</v>
      </c>
      <c r="F18" s="179" t="e">
        <f>IF(E20=0,0,E18/E20)</f>
        <v>#REF!</v>
      </c>
      <c r="G18" s="116" t="e">
        <f>(C18+E18)/2</f>
        <v>#REF!</v>
      </c>
      <c r="H18" s="179" t="e">
        <f>IF(G20=0,0,G18/G20)</f>
        <v>#REF!</v>
      </c>
      <c r="J18" s="178" t="s">
        <v>280</v>
      </c>
      <c r="K18" s="116" t="e">
        <f>#REF!</f>
        <v>#REF!</v>
      </c>
      <c r="L18" s="179" t="e">
        <f>IF(K20=0,0,K18/K20)</f>
        <v>#REF!</v>
      </c>
      <c r="M18" s="116" t="e">
        <f>#REF!</f>
        <v>#REF!</v>
      </c>
      <c r="N18" s="179" t="e">
        <f>IF(M20=0,0,M18/M20)</f>
        <v>#REF!</v>
      </c>
      <c r="O18" s="116" t="e">
        <f>(K18+M18)/2</f>
        <v>#REF!</v>
      </c>
      <c r="P18" s="179" t="e">
        <f>IF(O20=0,0,O18/O20)</f>
        <v>#REF!</v>
      </c>
      <c r="R18" s="178" t="s">
        <v>280</v>
      </c>
      <c r="S18" s="116" t="e">
        <f>C18+K18</f>
        <v>#REF!</v>
      </c>
      <c r="T18" s="179" t="e">
        <f>IF(S20=0,0,S18/S20)</f>
        <v>#REF!</v>
      </c>
      <c r="U18" s="116" t="e">
        <f>E18+M18</f>
        <v>#REF!</v>
      </c>
      <c r="V18" s="179" t="e">
        <f>IF(U20=0,0,U18/U20)</f>
        <v>#REF!</v>
      </c>
      <c r="W18" s="116" t="e">
        <f>G18+O18</f>
        <v>#REF!</v>
      </c>
      <c r="X18" s="179" t="e">
        <f>IF(W20=0,0,W18/W20)</f>
        <v>#REF!</v>
      </c>
    </row>
    <row r="19" spans="2:24" ht="15" customHeight="1" x14ac:dyDescent="0.25">
      <c r="B19" s="178" t="s">
        <v>281</v>
      </c>
      <c r="C19" s="116" t="e">
        <f>#REF!</f>
        <v>#REF!</v>
      </c>
      <c r="D19" s="179" t="e">
        <f>IF(C20=0,0,C19/C20)</f>
        <v>#REF!</v>
      </c>
      <c r="E19" s="116" t="e">
        <f>#REF!+35000</f>
        <v>#REF!</v>
      </c>
      <c r="F19" s="179" t="e">
        <f>IF(E20=0,0,E19/E20)</f>
        <v>#REF!</v>
      </c>
      <c r="G19" s="116" t="e">
        <f>(C19+E19)/2</f>
        <v>#REF!</v>
      </c>
      <c r="H19" s="179" t="e">
        <f>IF(G20=0,0,G19/G20)</f>
        <v>#REF!</v>
      </c>
      <c r="J19" s="178" t="s">
        <v>281</v>
      </c>
      <c r="K19" s="124" t="e">
        <f>#REF!</f>
        <v>#REF!</v>
      </c>
      <c r="L19" s="179" t="e">
        <f>IF(K20=0,0,K19/K20)</f>
        <v>#REF!</v>
      </c>
      <c r="M19" s="124" t="e">
        <f>#REF!</f>
        <v>#REF!</v>
      </c>
      <c r="N19" s="179" t="e">
        <f>IF(M20=0,0,M19/M20)</f>
        <v>#REF!</v>
      </c>
      <c r="O19" s="116" t="e">
        <f>(K19+M19)/2</f>
        <v>#REF!</v>
      </c>
      <c r="P19" s="179" t="e">
        <f>IF(O20=0,0,O19/O20)</f>
        <v>#REF!</v>
      </c>
      <c r="R19" s="178" t="s">
        <v>281</v>
      </c>
      <c r="S19" s="116" t="e">
        <f>C19+K19</f>
        <v>#REF!</v>
      </c>
      <c r="T19" s="179" t="e">
        <f>IF(S20=0,0,S19/S20)</f>
        <v>#REF!</v>
      </c>
      <c r="U19" s="116" t="e">
        <f>E19+M19</f>
        <v>#REF!</v>
      </c>
      <c r="V19" s="179" t="e">
        <f>IF(U20=0,0,U19/U20)</f>
        <v>#REF!</v>
      </c>
      <c r="W19" s="116" t="e">
        <f>G19+O19</f>
        <v>#REF!</v>
      </c>
      <c r="X19" s="179" t="e">
        <f>IF(W20=0,0,W19/W20)</f>
        <v>#REF!</v>
      </c>
    </row>
    <row r="20" spans="2:24" ht="15" customHeight="1" x14ac:dyDescent="0.25">
      <c r="B20" s="130" t="s">
        <v>160</v>
      </c>
      <c r="C20" s="125" t="e">
        <f>SUM(C18:C19)</f>
        <v>#REF!</v>
      </c>
      <c r="D20" s="180" t="e">
        <f>SUM(D18:D19)</f>
        <v>#REF!</v>
      </c>
      <c r="E20" s="125" t="e">
        <f>SUM(E18:E19)</f>
        <v>#REF!</v>
      </c>
      <c r="F20" s="180" t="e">
        <f>SUM(F18:F19)</f>
        <v>#REF!</v>
      </c>
      <c r="G20" s="125" t="e">
        <f t="shared" ref="G20" si="12">SUM(G18:G19)</f>
        <v>#REF!</v>
      </c>
      <c r="H20" s="180" t="e">
        <f>SUM(H18:H19)</f>
        <v>#REF!</v>
      </c>
      <c r="J20" s="130" t="s">
        <v>160</v>
      </c>
      <c r="K20" s="125" t="e">
        <f>SUM(K18:K19)</f>
        <v>#REF!</v>
      </c>
      <c r="L20" s="180" t="e">
        <f>SUM(L18:L19)</f>
        <v>#REF!</v>
      </c>
      <c r="M20" s="125" t="e">
        <f>SUM(M18:M19)</f>
        <v>#REF!</v>
      </c>
      <c r="N20" s="180" t="e">
        <f>SUM(N18:N19)</f>
        <v>#REF!</v>
      </c>
      <c r="O20" s="125" t="e">
        <f t="shared" ref="O20" si="13">SUM(O18:O19)</f>
        <v>#REF!</v>
      </c>
      <c r="P20" s="180" t="e">
        <f>SUM(P18:P19)</f>
        <v>#REF!</v>
      </c>
      <c r="R20" s="130" t="s">
        <v>160</v>
      </c>
      <c r="S20" s="125" t="e">
        <f t="shared" ref="S20:X20" si="14">SUM(S18:S19)</f>
        <v>#REF!</v>
      </c>
      <c r="T20" s="180" t="e">
        <f t="shared" si="14"/>
        <v>#REF!</v>
      </c>
      <c r="U20" s="125" t="e">
        <f t="shared" si="14"/>
        <v>#REF!</v>
      </c>
      <c r="V20" s="180" t="e">
        <f t="shared" si="14"/>
        <v>#REF!</v>
      </c>
      <c r="W20" s="125" t="e">
        <f t="shared" si="14"/>
        <v>#REF!</v>
      </c>
      <c r="X20" s="180" t="e">
        <f t="shared" si="14"/>
        <v>#REF!</v>
      </c>
    </row>
    <row r="21" spans="2:24" ht="15" customHeight="1" x14ac:dyDescent="0.25">
      <c r="B21" s="111" t="s">
        <v>282</v>
      </c>
      <c r="C21" s="125">
        <v>17</v>
      </c>
      <c r="D21" s="112"/>
      <c r="E21" s="125">
        <f>20+1</f>
        <v>21</v>
      </c>
      <c r="F21" s="112"/>
      <c r="G21" s="125">
        <f>(C21+E21)/2</f>
        <v>19</v>
      </c>
      <c r="H21" s="180"/>
      <c r="J21" s="111" t="s">
        <v>282</v>
      </c>
      <c r="K21" s="125">
        <v>4</v>
      </c>
      <c r="L21" s="125"/>
      <c r="M21" s="125">
        <v>4</v>
      </c>
      <c r="N21" s="112"/>
      <c r="O21" s="125">
        <f>(L21+K21+M21)/2</f>
        <v>4</v>
      </c>
      <c r="P21" s="180"/>
      <c r="R21" s="111" t="s">
        <v>282</v>
      </c>
      <c r="S21" s="125">
        <f>C21+K21</f>
        <v>21</v>
      </c>
      <c r="T21" s="112"/>
      <c r="U21" s="125">
        <f>E21+M21</f>
        <v>25</v>
      </c>
      <c r="V21" s="112"/>
      <c r="W21" s="125">
        <f>G21+O21</f>
        <v>23</v>
      </c>
      <c r="X21" s="112"/>
    </row>
    <row r="22" spans="2:24" ht="15" customHeight="1" x14ac:dyDescent="0.25">
      <c r="B22" s="111" t="s">
        <v>39</v>
      </c>
      <c r="C22" s="125" t="e">
        <f>IF(C21=0,0,C20/C21)</f>
        <v>#REF!</v>
      </c>
      <c r="D22" s="112"/>
      <c r="E22" s="125" t="e">
        <f>IF(E21=0,0,E20/E21)</f>
        <v>#REF!</v>
      </c>
      <c r="F22" s="112"/>
      <c r="G22" s="125" t="e">
        <f>IF(G21=0,0,G20/G21)</f>
        <v>#REF!</v>
      </c>
      <c r="H22" s="180"/>
      <c r="J22" s="111" t="s">
        <v>39</v>
      </c>
      <c r="K22" s="125" t="e">
        <f>IF(K21=0,0,K20/K21)</f>
        <v>#REF!</v>
      </c>
      <c r="L22" s="125"/>
      <c r="M22" s="125" t="e">
        <f>IF(M21=0,0,M20/M21)</f>
        <v>#REF!</v>
      </c>
      <c r="N22" s="112"/>
      <c r="O22" s="125" t="e">
        <f t="shared" ref="O22" si="15">IF(O21=0,0,O20/O21)</f>
        <v>#REF!</v>
      </c>
      <c r="P22" s="180"/>
      <c r="R22" s="111" t="s">
        <v>39</v>
      </c>
      <c r="S22" s="125" t="e">
        <f>IF(S21=0,0,S20/S21)</f>
        <v>#REF!</v>
      </c>
      <c r="T22" s="112"/>
      <c r="U22" s="125" t="e">
        <f>IF(U21=0,0,U20/U21)</f>
        <v>#REF!</v>
      </c>
      <c r="V22" s="112"/>
      <c r="W22" s="125" t="e">
        <f>IF(W21=0,0,W20/W21)</f>
        <v>#REF!</v>
      </c>
      <c r="X22" s="112"/>
    </row>
    <row r="23" spans="2:24" ht="15" customHeight="1" x14ac:dyDescent="0.25">
      <c r="F23" s="26"/>
    </row>
    <row r="24" spans="2:24" ht="15" customHeight="1" x14ac:dyDescent="0.25">
      <c r="B24" s="189" t="s">
        <v>353</v>
      </c>
      <c r="C24" s="188"/>
      <c r="D24" s="188"/>
      <c r="E24" s="188"/>
      <c r="F24" s="188"/>
      <c r="G24" s="188"/>
      <c r="H24" s="188"/>
      <c r="J24" s="190" t="str">
        <f>B24</f>
        <v>taux de cofinancement retraité</v>
      </c>
      <c r="K24" s="191"/>
      <c r="L24" s="191"/>
      <c r="M24" s="191"/>
      <c r="N24" s="191"/>
      <c r="O24" s="191"/>
      <c r="P24" s="191"/>
      <c r="R24" s="122" t="str">
        <f>B24</f>
        <v>taux de cofinancement retraité</v>
      </c>
      <c r="S24" s="192"/>
      <c r="T24" s="192"/>
      <c r="U24" s="192"/>
      <c r="V24" s="192"/>
      <c r="W24" s="192"/>
      <c r="X24" s="192"/>
    </row>
    <row r="25" spans="2:24" ht="15" customHeight="1" x14ac:dyDescent="0.25">
      <c r="B25" s="111" t="s">
        <v>62</v>
      </c>
      <c r="C25" s="177">
        <v>2020</v>
      </c>
      <c r="D25" s="177" t="s">
        <v>11</v>
      </c>
      <c r="E25" s="177">
        <v>2021</v>
      </c>
      <c r="F25" s="177" t="s">
        <v>11</v>
      </c>
      <c r="G25" s="177" t="s">
        <v>275</v>
      </c>
      <c r="H25" s="177" t="s">
        <v>11</v>
      </c>
      <c r="J25" s="111" t="s">
        <v>63</v>
      </c>
      <c r="K25" s="181">
        <v>2020</v>
      </c>
      <c r="L25" s="181" t="s">
        <v>11</v>
      </c>
      <c r="M25" s="181">
        <v>2021</v>
      </c>
      <c r="N25" s="181" t="s">
        <v>11</v>
      </c>
      <c r="O25" s="181" t="s">
        <v>275</v>
      </c>
      <c r="P25" s="181" t="s">
        <v>11</v>
      </c>
      <c r="R25" s="111" t="s">
        <v>7</v>
      </c>
      <c r="S25" s="182">
        <v>2020</v>
      </c>
      <c r="T25" s="182" t="s">
        <v>11</v>
      </c>
      <c r="U25" s="182">
        <v>2021</v>
      </c>
      <c r="V25" s="182" t="s">
        <v>11</v>
      </c>
      <c r="W25" s="182" t="s">
        <v>275</v>
      </c>
      <c r="X25" s="182" t="s">
        <v>11</v>
      </c>
    </row>
    <row r="26" spans="2:24" ht="15" customHeight="1" x14ac:dyDescent="0.25">
      <c r="B26" s="178" t="s">
        <v>280</v>
      </c>
      <c r="C26" s="116" t="e">
        <f>C18</f>
        <v>#REF!</v>
      </c>
      <c r="D26" s="179" t="e">
        <f>IF(C28=0,0,C26/C28)</f>
        <v>#REF!</v>
      </c>
      <c r="E26" s="116" t="e">
        <f>E18</f>
        <v>#REF!</v>
      </c>
      <c r="F26" s="179" t="e">
        <f>IF(E28=0,0,E26/E28)</f>
        <v>#REF!</v>
      </c>
      <c r="G26" s="116" t="e">
        <f>(C26+E26)/2</f>
        <v>#REF!</v>
      </c>
      <c r="H26" s="179" t="e">
        <f>IF(G28=0,0,G26/G28)</f>
        <v>#REF!</v>
      </c>
      <c r="J26" s="178" t="s">
        <v>280</v>
      </c>
      <c r="K26" s="116" t="e">
        <f>K18</f>
        <v>#REF!</v>
      </c>
      <c r="L26" s="179" t="e">
        <f>IF(K28=0,0,K26/K28)</f>
        <v>#REF!</v>
      </c>
      <c r="M26" s="116" t="e">
        <f>M18</f>
        <v>#REF!</v>
      </c>
      <c r="N26" s="179" t="e">
        <f>IF(M28=0,0,M26/M28)</f>
        <v>#REF!</v>
      </c>
      <c r="O26" s="116" t="e">
        <f>(K26+M26)/2</f>
        <v>#REF!</v>
      </c>
      <c r="P26" s="179" t="e">
        <f>IF(O28=0,0,O26/O28)</f>
        <v>#REF!</v>
      </c>
      <c r="R26" s="178" t="s">
        <v>280</v>
      </c>
      <c r="S26" s="116" t="e">
        <f>C26+K26</f>
        <v>#REF!</v>
      </c>
      <c r="T26" s="179" t="e">
        <f>IF(S28=0,0,S26/S28)</f>
        <v>#REF!</v>
      </c>
      <c r="U26" s="116" t="e">
        <f>E26+M26</f>
        <v>#REF!</v>
      </c>
      <c r="V26" s="179" t="e">
        <f>IF(U28=0,0,U26/U28)</f>
        <v>#REF!</v>
      </c>
      <c r="W26" s="116" t="e">
        <f>G26+O26</f>
        <v>#REF!</v>
      </c>
      <c r="X26" s="179" t="e">
        <f>IF(W28=0,0,W26/W28)</f>
        <v>#REF!</v>
      </c>
    </row>
    <row r="27" spans="2:24" ht="15" customHeight="1" x14ac:dyDescent="0.25">
      <c r="B27" s="178" t="s">
        <v>281</v>
      </c>
      <c r="C27" s="124">
        <v>203861</v>
      </c>
      <c r="D27" s="179" t="e">
        <f>IF(C28=0,0,C27/C28)</f>
        <v>#REF!</v>
      </c>
      <c r="E27" s="116">
        <v>233280</v>
      </c>
      <c r="F27" s="179" t="e">
        <f>IF(E28=0,0,E27/E28)</f>
        <v>#REF!</v>
      </c>
      <c r="G27" s="116">
        <f>(C27+E27)/2</f>
        <v>218570.5</v>
      </c>
      <c r="H27" s="179" t="e">
        <f>IF(G28=0,0,G27/G28)</f>
        <v>#REF!</v>
      </c>
      <c r="J27" s="178" t="s">
        <v>281</v>
      </c>
      <c r="K27" s="116" t="e">
        <f>K19</f>
        <v>#REF!</v>
      </c>
      <c r="L27" s="179" t="e">
        <f>IF(K28=0,0,K27/K28)</f>
        <v>#REF!</v>
      </c>
      <c r="M27" s="116" t="e">
        <f t="shared" ref="M27" si="16">M19</f>
        <v>#REF!</v>
      </c>
      <c r="N27" s="179" t="e">
        <f>IF(M28=0,0,M27/M28)</f>
        <v>#REF!</v>
      </c>
      <c r="O27" s="116" t="e">
        <f>(K27+M27)/2</f>
        <v>#REF!</v>
      </c>
      <c r="P27" s="179" t="e">
        <f>IF(O28=0,0,O27/O28)</f>
        <v>#REF!</v>
      </c>
      <c r="R27" s="178" t="s">
        <v>281</v>
      </c>
      <c r="S27" s="116" t="e">
        <f>C27+K27</f>
        <v>#REF!</v>
      </c>
      <c r="T27" s="179" t="e">
        <f>IF(S28=0,0,S27/S28)</f>
        <v>#REF!</v>
      </c>
      <c r="U27" s="116" t="e">
        <f>E27+M27</f>
        <v>#REF!</v>
      </c>
      <c r="V27" s="179" t="e">
        <f>IF(U28=0,0,U27/U28)</f>
        <v>#REF!</v>
      </c>
      <c r="W27" s="116" t="e">
        <f>G27+O27</f>
        <v>#REF!</v>
      </c>
      <c r="X27" s="179" t="e">
        <f>IF(W28=0,0,W27/W28)</f>
        <v>#REF!</v>
      </c>
    </row>
    <row r="28" spans="2:24" ht="15" customHeight="1" x14ac:dyDescent="0.25">
      <c r="B28" s="130" t="s">
        <v>160</v>
      </c>
      <c r="C28" s="125" t="e">
        <f>SUM(C26:C27)</f>
        <v>#REF!</v>
      </c>
      <c r="D28" s="180" t="e">
        <f>SUM(D26:D27)</f>
        <v>#REF!</v>
      </c>
      <c r="E28" s="125" t="e">
        <f>SUM(E26:E27)</f>
        <v>#REF!</v>
      </c>
      <c r="F28" s="180" t="e">
        <f>SUM(F26:F27)</f>
        <v>#REF!</v>
      </c>
      <c r="G28" s="125" t="e">
        <f t="shared" ref="G28" si="17">SUM(G26:G27)</f>
        <v>#REF!</v>
      </c>
      <c r="H28" s="180" t="e">
        <f>SUM(H26:H27)</f>
        <v>#REF!</v>
      </c>
      <c r="J28" s="130" t="s">
        <v>160</v>
      </c>
      <c r="K28" s="125" t="e">
        <f>SUM(K26:K27)</f>
        <v>#REF!</v>
      </c>
      <c r="L28" s="180" t="e">
        <f>SUM(L26:L27)</f>
        <v>#REF!</v>
      </c>
      <c r="M28" s="125" t="e">
        <f>SUM(M26:M27)</f>
        <v>#REF!</v>
      </c>
      <c r="N28" s="180" t="e">
        <f>SUM(N26:N27)</f>
        <v>#REF!</v>
      </c>
      <c r="O28" s="125" t="e">
        <f t="shared" ref="O28" si="18">SUM(O26:O27)</f>
        <v>#REF!</v>
      </c>
      <c r="P28" s="180" t="e">
        <f>SUM(P26:P27)</f>
        <v>#REF!</v>
      </c>
      <c r="R28" s="130" t="s">
        <v>160</v>
      </c>
      <c r="S28" s="125" t="e">
        <f t="shared" ref="S28:X28" si="19">SUM(S26:S27)</f>
        <v>#REF!</v>
      </c>
      <c r="T28" s="180" t="e">
        <f t="shared" si="19"/>
        <v>#REF!</v>
      </c>
      <c r="U28" s="125" t="e">
        <f t="shared" si="19"/>
        <v>#REF!</v>
      </c>
      <c r="V28" s="180" t="e">
        <f t="shared" si="19"/>
        <v>#REF!</v>
      </c>
      <c r="W28" s="125" t="e">
        <f t="shared" si="19"/>
        <v>#REF!</v>
      </c>
      <c r="X28" s="180" t="e">
        <f t="shared" si="19"/>
        <v>#REF!</v>
      </c>
    </row>
    <row r="29" spans="2:24" ht="15" customHeight="1" x14ac:dyDescent="0.25">
      <c r="B29" s="111" t="s">
        <v>282</v>
      </c>
      <c r="C29" s="125">
        <f>C21-4</f>
        <v>13</v>
      </c>
      <c r="D29" s="112"/>
      <c r="E29" s="125">
        <f>E21-3</f>
        <v>18</v>
      </c>
      <c r="F29" s="112"/>
      <c r="G29" s="125">
        <f>(C29+E29)/2</f>
        <v>15.5</v>
      </c>
      <c r="H29" s="180"/>
      <c r="J29" s="111" t="s">
        <v>282</v>
      </c>
      <c r="K29" s="125">
        <f>K21-0</f>
        <v>4</v>
      </c>
      <c r="L29" s="125"/>
      <c r="M29" s="125">
        <f t="shared" ref="M29" si="20">M21-0</f>
        <v>4</v>
      </c>
      <c r="N29" s="112"/>
      <c r="O29" s="125">
        <f>(L29+K29+M29)/2</f>
        <v>4</v>
      </c>
      <c r="P29" s="112"/>
      <c r="R29" s="111" t="s">
        <v>282</v>
      </c>
      <c r="S29" s="125">
        <f>C29+K29</f>
        <v>17</v>
      </c>
      <c r="T29" s="112"/>
      <c r="U29" s="125">
        <f>E29+M29</f>
        <v>22</v>
      </c>
      <c r="V29" s="112"/>
      <c r="W29" s="125">
        <f>G29+O29</f>
        <v>19.5</v>
      </c>
      <c r="X29" s="112"/>
    </row>
    <row r="30" spans="2:24" ht="15" customHeight="1" x14ac:dyDescent="0.25">
      <c r="B30" s="111" t="s">
        <v>39</v>
      </c>
      <c r="C30" s="125" t="e">
        <f>IF(C29=0,0,C28/C29)</f>
        <v>#REF!</v>
      </c>
      <c r="D30" s="112"/>
      <c r="E30" s="125" t="e">
        <f t="shared" ref="E30" si="21">IF(E29=0,0,E28/E29)</f>
        <v>#REF!</v>
      </c>
      <c r="F30" s="112"/>
      <c r="G30" s="125" t="e">
        <f>IF(G29=0,0,G28/G29)</f>
        <v>#REF!</v>
      </c>
      <c r="H30" s="180"/>
      <c r="J30" s="111" t="s">
        <v>39</v>
      </c>
      <c r="K30" s="125" t="e">
        <f>IF(K29=0,0,K28/K29)</f>
        <v>#REF!</v>
      </c>
      <c r="L30" s="125"/>
      <c r="M30" s="125" t="e">
        <f>IF(M29=0,0,M28/M29)</f>
        <v>#REF!</v>
      </c>
      <c r="N30" s="112"/>
      <c r="O30" s="125" t="e">
        <f t="shared" ref="O30" si="22">IF(O29=0,0,O28/O29)</f>
        <v>#REF!</v>
      </c>
      <c r="P30" s="112"/>
      <c r="R30" s="111" t="s">
        <v>39</v>
      </c>
      <c r="S30" s="125" t="e">
        <f>IF(S29=0,0,S28/S29)</f>
        <v>#REF!</v>
      </c>
      <c r="T30" s="112"/>
      <c r="U30" s="125" t="e">
        <f>IF(U29=0,0,U28/U29)</f>
        <v>#REF!</v>
      </c>
      <c r="V30" s="112"/>
      <c r="W30" s="125" t="e">
        <f>IF(W29=0,0,W28/W29)</f>
        <v>#REF!</v>
      </c>
      <c r="X30" s="112"/>
    </row>
    <row r="31" spans="2:24" ht="15" customHeight="1" x14ac:dyDescent="0.25">
      <c r="F31" s="26"/>
    </row>
    <row r="32" spans="2:24" ht="15" customHeight="1" x14ac:dyDescent="0.25">
      <c r="F32" s="26"/>
    </row>
    <row r="33" spans="2:24" ht="15" customHeight="1" x14ac:dyDescent="0.25">
      <c r="B33" s="189" t="s">
        <v>354</v>
      </c>
      <c r="C33" s="188"/>
      <c r="D33" s="188"/>
      <c r="E33" s="188"/>
      <c r="F33" s="188"/>
      <c r="G33" s="188"/>
      <c r="H33" s="188"/>
      <c r="J33" s="190" t="str">
        <f>B33</f>
        <v>budget consultance</v>
      </c>
      <c r="K33" s="191"/>
      <c r="L33" s="191"/>
      <c r="M33" s="191"/>
      <c r="N33" s="191"/>
      <c r="O33" s="191"/>
      <c r="P33" s="191"/>
      <c r="R33" s="122" t="str">
        <f>B33</f>
        <v>budget consultance</v>
      </c>
      <c r="S33" s="192"/>
      <c r="T33" s="192"/>
      <c r="U33" s="192"/>
      <c r="V33" s="192"/>
      <c r="W33" s="192"/>
      <c r="X33" s="192"/>
    </row>
    <row r="34" spans="2:24" ht="15" customHeight="1" x14ac:dyDescent="0.25">
      <c r="B34" s="111" t="s">
        <v>62</v>
      </c>
      <c r="C34" s="177">
        <v>2020</v>
      </c>
      <c r="D34" s="177" t="s">
        <v>11</v>
      </c>
      <c r="E34" s="177">
        <v>2021</v>
      </c>
      <c r="F34" s="177" t="s">
        <v>11</v>
      </c>
      <c r="G34" s="177" t="s">
        <v>275</v>
      </c>
      <c r="H34" s="177" t="s">
        <v>11</v>
      </c>
      <c r="J34" s="111" t="s">
        <v>63</v>
      </c>
      <c r="K34" s="181">
        <v>2020</v>
      </c>
      <c r="L34" s="181" t="s">
        <v>11</v>
      </c>
      <c r="M34" s="181">
        <v>2021</v>
      </c>
      <c r="N34" s="181" t="s">
        <v>11</v>
      </c>
      <c r="O34" s="181" t="s">
        <v>275</v>
      </c>
      <c r="P34" s="181" t="s">
        <v>11</v>
      </c>
      <c r="R34" s="111" t="s">
        <v>7</v>
      </c>
      <c r="S34" s="182">
        <v>2020</v>
      </c>
      <c r="T34" s="182" t="s">
        <v>11</v>
      </c>
      <c r="U34" s="182">
        <v>2021</v>
      </c>
      <c r="V34" s="182" t="s">
        <v>11</v>
      </c>
      <c r="W34" s="182" t="s">
        <v>275</v>
      </c>
      <c r="X34" s="182" t="s">
        <v>11</v>
      </c>
    </row>
    <row r="35" spans="2:24" ht="15" customHeight="1" x14ac:dyDescent="0.25">
      <c r="B35" s="178" t="s">
        <v>280</v>
      </c>
      <c r="C35" s="116" t="e">
        <f>C18</f>
        <v>#REF!</v>
      </c>
      <c r="D35" s="179" t="e">
        <f>IF(C20=0,0,C35/C20)</f>
        <v>#REF!</v>
      </c>
      <c r="E35" s="116" t="e">
        <f>E18</f>
        <v>#REF!</v>
      </c>
      <c r="F35" s="179" t="e">
        <f>IF(E20=0,0,E35/E20)</f>
        <v>#REF!</v>
      </c>
      <c r="G35" s="116" t="e">
        <f>(C35+E35)/2</f>
        <v>#REF!</v>
      </c>
      <c r="H35" s="179" t="e">
        <f>IF(G20=0,0,G35/G20)</f>
        <v>#REF!</v>
      </c>
      <c r="J35" s="178" t="s">
        <v>280</v>
      </c>
      <c r="K35" s="116" t="e">
        <f>K18</f>
        <v>#REF!</v>
      </c>
      <c r="L35" s="179" t="e">
        <f>IF(K20=0,0,K35/K20)</f>
        <v>#REF!</v>
      </c>
      <c r="M35" s="116" t="e">
        <f>M18</f>
        <v>#REF!</v>
      </c>
      <c r="N35" s="179" t="e">
        <f>IF(M20=0,0,M35/M20)</f>
        <v>#REF!</v>
      </c>
      <c r="O35" s="116" t="e">
        <f>(K35+M35)/2</f>
        <v>#REF!</v>
      </c>
      <c r="P35" s="179" t="e">
        <f>IF(O20=0,0,O35/O20)</f>
        <v>#REF!</v>
      </c>
      <c r="R35" s="178" t="s">
        <v>280</v>
      </c>
      <c r="S35" s="116" t="e">
        <f>C35+K35</f>
        <v>#REF!</v>
      </c>
      <c r="T35" s="179" t="e">
        <f>IF(S20=0,0,S35/S20)</f>
        <v>#REF!</v>
      </c>
      <c r="U35" s="116" t="e">
        <f>E35+M35</f>
        <v>#REF!</v>
      </c>
      <c r="V35" s="179" t="e">
        <f>IF(U20=0,0,U35/U20)</f>
        <v>#REF!</v>
      </c>
      <c r="W35" s="116" t="e">
        <f>G35+O35</f>
        <v>#REF!</v>
      </c>
      <c r="X35" s="179" t="e">
        <f>IF(W20=0,0,W35/W20)</f>
        <v>#REF!</v>
      </c>
    </row>
    <row r="36" spans="2:24" ht="15" customHeight="1" x14ac:dyDescent="0.25">
      <c r="B36" s="178" t="s">
        <v>281</v>
      </c>
      <c r="C36" s="116" t="e">
        <f>C19</f>
        <v>#REF!</v>
      </c>
      <c r="D36" s="179" t="e">
        <f>IF(C20=0,0,C36/C20)</f>
        <v>#REF!</v>
      </c>
      <c r="E36" s="116" t="e">
        <f>E19</f>
        <v>#REF!</v>
      </c>
      <c r="F36" s="179" t="e">
        <f>IF(E20=0,0,E36/E20)</f>
        <v>#REF!</v>
      </c>
      <c r="G36" s="116" t="e">
        <f>(C36+E36)/2</f>
        <v>#REF!</v>
      </c>
      <c r="H36" s="179" t="e">
        <f>IF(G20=0,0,G36/G20)</f>
        <v>#REF!</v>
      </c>
      <c r="J36" s="178" t="s">
        <v>281</v>
      </c>
      <c r="K36" s="116" t="e">
        <f>K19</f>
        <v>#REF!</v>
      </c>
      <c r="L36" s="179" t="e">
        <f>IF(K20=0,0,K36/K20)</f>
        <v>#REF!</v>
      </c>
      <c r="M36" s="116" t="e">
        <f>M19</f>
        <v>#REF!</v>
      </c>
      <c r="N36" s="179" t="e">
        <f>IF(M20=0,0,M36/M20)</f>
        <v>#REF!</v>
      </c>
      <c r="O36" s="116" t="e">
        <f>(K36+M36)/2</f>
        <v>#REF!</v>
      </c>
      <c r="P36" s="179" t="e">
        <f>IF(O20=0,0,O36/O20)</f>
        <v>#REF!</v>
      </c>
      <c r="R36" s="178" t="s">
        <v>281</v>
      </c>
      <c r="S36" s="116" t="e">
        <f>C36+K36</f>
        <v>#REF!</v>
      </c>
      <c r="T36" s="179" t="e">
        <f>IF(S20=0,0,S36/S20)</f>
        <v>#REF!</v>
      </c>
      <c r="U36" s="116" t="e">
        <f>E36+M36</f>
        <v>#REF!</v>
      </c>
      <c r="V36" s="179" t="e">
        <f>IF(U20=0,0,U36/U20)</f>
        <v>#REF!</v>
      </c>
      <c r="W36" s="116" t="e">
        <f>G36+O36</f>
        <v>#REF!</v>
      </c>
      <c r="X36" s="179" t="e">
        <f>IF(W20=0,0,W36/W20)</f>
        <v>#REF!</v>
      </c>
    </row>
    <row r="37" spans="2:24" ht="15" customHeight="1" x14ac:dyDescent="0.25">
      <c r="B37" s="130" t="s">
        <v>160</v>
      </c>
      <c r="C37" s="125" t="e">
        <f>SUM(C35:C36)</f>
        <v>#REF!</v>
      </c>
      <c r="D37" s="180" t="e">
        <f>SUM(D35:D36)</f>
        <v>#REF!</v>
      </c>
      <c r="E37" s="125" t="e">
        <f>SUM(E35:E36)</f>
        <v>#REF!</v>
      </c>
      <c r="F37" s="180" t="e">
        <f>SUM(F35:F36)</f>
        <v>#REF!</v>
      </c>
      <c r="G37" s="125" t="e">
        <f t="shared" ref="G37" si="23">SUM(G35:G36)</f>
        <v>#REF!</v>
      </c>
      <c r="H37" s="180" t="e">
        <f>SUM(H35:H36)</f>
        <v>#REF!</v>
      </c>
      <c r="J37" s="130" t="s">
        <v>160</v>
      </c>
      <c r="K37" s="125" t="e">
        <f>SUM(K35:K36)</f>
        <v>#REF!</v>
      </c>
      <c r="L37" s="180" t="e">
        <f>SUM(L35:L36)</f>
        <v>#REF!</v>
      </c>
      <c r="M37" s="125" t="e">
        <f>SUM(M35:M36)</f>
        <v>#REF!</v>
      </c>
      <c r="N37" s="180" t="e">
        <f>SUM(N35:N36)</f>
        <v>#REF!</v>
      </c>
      <c r="O37" s="125" t="e">
        <f t="shared" ref="O37" si="24">SUM(O35:O36)</f>
        <v>#REF!</v>
      </c>
      <c r="P37" s="180" t="e">
        <f>SUM(P35:P36)</f>
        <v>#REF!</v>
      </c>
      <c r="R37" s="130" t="s">
        <v>160</v>
      </c>
      <c r="S37" s="125" t="e">
        <f t="shared" ref="S37:W37" si="25">SUM(S35:S36)</f>
        <v>#REF!</v>
      </c>
      <c r="T37" s="180" t="e">
        <f>SUM(T35:T36)</f>
        <v>#REF!</v>
      </c>
      <c r="U37" s="125" t="e">
        <f t="shared" si="25"/>
        <v>#REF!</v>
      </c>
      <c r="V37" s="180" t="e">
        <f>SUM(V35:V36)</f>
        <v>#REF!</v>
      </c>
      <c r="W37" s="125" t="e">
        <f t="shared" si="25"/>
        <v>#REF!</v>
      </c>
      <c r="X37" s="180" t="e">
        <f>SUM(X35:X36)</f>
        <v>#REF!</v>
      </c>
    </row>
    <row r="38" spans="2:24" ht="15" customHeight="1" x14ac:dyDescent="0.25">
      <c r="B38" s="183" t="s">
        <v>83</v>
      </c>
      <c r="C38" s="116" t="e">
        <f>C37*#REF!/#REF!</f>
        <v>#REF!</v>
      </c>
      <c r="D38" s="179" t="e">
        <f>IF(C20=0,0,C38/C20)</f>
        <v>#REF!</v>
      </c>
      <c r="E38" s="116" t="e">
        <f>E37*#REF!</f>
        <v>#REF!</v>
      </c>
      <c r="F38" s="179" t="e">
        <f>IF(E20=0,0,E38/E20)</f>
        <v>#REF!</v>
      </c>
      <c r="G38" s="116" t="e">
        <f>(C38+E38)/2</f>
        <v>#REF!</v>
      </c>
      <c r="H38" s="179" t="e">
        <f>IF(G20=0,0,G38/G20)</f>
        <v>#REF!</v>
      </c>
      <c r="J38" s="183" t="s">
        <v>83</v>
      </c>
      <c r="K38" s="116" t="e">
        <f>K37*#REF!</f>
        <v>#REF!</v>
      </c>
      <c r="L38" s="179" t="e">
        <f>IF(K20=0,0,K38/K20)</f>
        <v>#REF!</v>
      </c>
      <c r="M38" s="116" t="e">
        <f>M37*#REF!</f>
        <v>#REF!</v>
      </c>
      <c r="N38" s="179" t="e">
        <f>IF(M20=0,0,M38/M20)</f>
        <v>#REF!</v>
      </c>
      <c r="O38" s="116" t="e">
        <f>(K38+M38)/2</f>
        <v>#REF!</v>
      </c>
      <c r="P38" s="179" t="e">
        <f>IF(O20=0,0,O38/O20)</f>
        <v>#REF!</v>
      </c>
      <c r="R38" s="183" t="s">
        <v>83</v>
      </c>
      <c r="S38" s="116" t="e">
        <f>C38+K38</f>
        <v>#REF!</v>
      </c>
      <c r="T38" s="179" t="e">
        <f>IF(S20=0,0,S38/S20)</f>
        <v>#REF!</v>
      </c>
      <c r="U38" s="116" t="e">
        <f>E38+M38</f>
        <v>#REF!</v>
      </c>
      <c r="V38" s="179" t="e">
        <f>IF(U20=0,0,U38/U20)</f>
        <v>#REF!</v>
      </c>
      <c r="W38" s="116" t="e">
        <f>G38+O38</f>
        <v>#REF!</v>
      </c>
      <c r="X38" s="179" t="e">
        <f>IF(W20=0,0,W38/W20)</f>
        <v>#REF!</v>
      </c>
    </row>
    <row r="39" spans="2:24" ht="15" customHeight="1" x14ac:dyDescent="0.25">
      <c r="B39" s="184" t="s">
        <v>279</v>
      </c>
      <c r="C39" s="124" t="e">
        <f>C36</f>
        <v>#REF!</v>
      </c>
      <c r="D39" s="179" t="e">
        <f>IF(C20=0,0,C39/C20)</f>
        <v>#REF!</v>
      </c>
      <c r="E39" s="124" t="e">
        <f>E36</f>
        <v>#REF!</v>
      </c>
      <c r="F39" s="179" t="e">
        <f>IF(E20=0,0,E39/E20)</f>
        <v>#REF!</v>
      </c>
      <c r="G39" s="116" t="e">
        <f>(C39+E39)/2</f>
        <v>#REF!</v>
      </c>
      <c r="H39" s="179" t="e">
        <f>IF(G20=0,0,G39/G20)</f>
        <v>#REF!</v>
      </c>
      <c r="J39" s="184" t="s">
        <v>279</v>
      </c>
      <c r="K39" s="124" t="e">
        <f>K36</f>
        <v>#REF!</v>
      </c>
      <c r="L39" s="179" t="e">
        <f>IF(K20=0,0,K39/K20)</f>
        <v>#REF!</v>
      </c>
      <c r="M39" s="124" t="e">
        <f>M36</f>
        <v>#REF!</v>
      </c>
      <c r="N39" s="179" t="e">
        <f>IF(M20=0,0,M39/M20)</f>
        <v>#REF!</v>
      </c>
      <c r="O39" s="116" t="e">
        <f>(K39+M39)/2</f>
        <v>#REF!</v>
      </c>
      <c r="P39" s="179" t="e">
        <f>IF(O20=0,0,O39/O20)</f>
        <v>#REF!</v>
      </c>
      <c r="R39" s="184" t="s">
        <v>279</v>
      </c>
      <c r="S39" s="116" t="e">
        <f>C39+K39</f>
        <v>#REF!</v>
      </c>
      <c r="T39" s="179" t="e">
        <f>IF(S20=0,0,S39/S20)</f>
        <v>#REF!</v>
      </c>
      <c r="U39" s="116" t="e">
        <f>E39+M39</f>
        <v>#REF!</v>
      </c>
      <c r="V39" s="179" t="e">
        <f>IF(U20=0,0,U39/U20)</f>
        <v>#REF!</v>
      </c>
      <c r="W39" s="116" t="e">
        <f>G39+O39</f>
        <v>#REF!</v>
      </c>
      <c r="X39" s="179" t="e">
        <f>IF(W20=0,0,W39/W20)</f>
        <v>#REF!</v>
      </c>
    </row>
    <row r="40" spans="2:24" ht="15" customHeight="1" x14ac:dyDescent="0.25">
      <c r="B40" s="126" t="s">
        <v>78</v>
      </c>
      <c r="C40" s="118" t="e">
        <f>SUM(C38:C39)</f>
        <v>#REF!</v>
      </c>
      <c r="D40" s="180" t="e">
        <f>SUM(D38:D39)</f>
        <v>#REF!</v>
      </c>
      <c r="E40" s="118" t="e">
        <f>SUM(E38:E39)</f>
        <v>#REF!</v>
      </c>
      <c r="F40" s="180" t="e">
        <f>SUM(F38:F39)</f>
        <v>#REF!</v>
      </c>
      <c r="G40" s="118" t="e">
        <f t="shared" ref="G40" si="26">SUM(G38:G39)</f>
        <v>#REF!</v>
      </c>
      <c r="H40" s="180" t="e">
        <f>SUM(H38:H39)</f>
        <v>#REF!</v>
      </c>
      <c r="J40" s="126" t="s">
        <v>78</v>
      </c>
      <c r="K40" s="118" t="e">
        <f>SUM(K38:K39)</f>
        <v>#REF!</v>
      </c>
      <c r="L40" s="180" t="e">
        <f>SUM(L38:L39)</f>
        <v>#REF!</v>
      </c>
      <c r="M40" s="118" t="e">
        <f>SUM(M38:M39)</f>
        <v>#REF!</v>
      </c>
      <c r="N40" s="180" t="e">
        <f>SUM(N38:N39)</f>
        <v>#REF!</v>
      </c>
      <c r="O40" s="116" t="e">
        <f>(K40+M40)/2</f>
        <v>#REF!</v>
      </c>
      <c r="P40" s="180" t="e">
        <f>SUM(P38:P39)</f>
        <v>#REF!</v>
      </c>
      <c r="R40" s="126" t="s">
        <v>78</v>
      </c>
      <c r="S40" s="125" t="e">
        <f t="shared" ref="S40:U40" si="27">SUM(S38:S39)</f>
        <v>#REF!</v>
      </c>
      <c r="T40" s="180" t="e">
        <f>SUM(T38:T39)</f>
        <v>#REF!</v>
      </c>
      <c r="U40" s="125" t="e">
        <f t="shared" si="27"/>
        <v>#REF!</v>
      </c>
      <c r="V40" s="180" t="e">
        <f>SUM(V38:V39)</f>
        <v>#REF!</v>
      </c>
      <c r="W40" s="125" t="e">
        <f t="shared" ref="W40" si="28">SUM(W38:W39)</f>
        <v>#REF!</v>
      </c>
      <c r="X40" s="180" t="e">
        <f>SUM(X38:X39)</f>
        <v>#REF!</v>
      </c>
    </row>
    <row r="41" spans="2:24" ht="15" customHeight="1" x14ac:dyDescent="0.25">
      <c r="B41" s="126" t="s">
        <v>148</v>
      </c>
      <c r="C41" s="125" t="e">
        <f t="shared" ref="C41:H41" si="29">C40-C37</f>
        <v>#REF!</v>
      </c>
      <c r="D41" s="180" t="e">
        <f t="shared" si="29"/>
        <v>#REF!</v>
      </c>
      <c r="E41" s="125" t="e">
        <f t="shared" si="29"/>
        <v>#REF!</v>
      </c>
      <c r="F41" s="180" t="e">
        <f t="shared" si="29"/>
        <v>#REF!</v>
      </c>
      <c r="G41" s="125" t="e">
        <f t="shared" si="29"/>
        <v>#REF!</v>
      </c>
      <c r="H41" s="180" t="e">
        <f t="shared" si="29"/>
        <v>#REF!</v>
      </c>
      <c r="J41" s="126" t="s">
        <v>148</v>
      </c>
      <c r="K41" s="125" t="e">
        <f>K40-K37</f>
        <v>#REF!</v>
      </c>
      <c r="L41" s="180" t="e">
        <f t="shared" ref="L41" si="30">L40-L37</f>
        <v>#REF!</v>
      </c>
      <c r="M41" s="125" t="e">
        <f>M40-M37</f>
        <v>#REF!</v>
      </c>
      <c r="N41" s="180" t="e">
        <f t="shared" ref="N41" si="31">N40-N37</f>
        <v>#REF!</v>
      </c>
      <c r="O41" s="125" t="e">
        <f>O40-O37</f>
        <v>#REF!</v>
      </c>
      <c r="P41" s="180" t="e">
        <f t="shared" ref="P41" si="32">P40-P37</f>
        <v>#REF!</v>
      </c>
      <c r="R41" s="126" t="s">
        <v>148</v>
      </c>
      <c r="S41" s="125" t="e">
        <f>S40-S37</f>
        <v>#REF!</v>
      </c>
      <c r="T41" s="180" t="e">
        <f t="shared" ref="T41" si="33">T40-T37</f>
        <v>#REF!</v>
      </c>
      <c r="U41" s="125" t="e">
        <f>U40-U37</f>
        <v>#REF!</v>
      </c>
      <c r="V41" s="180" t="e">
        <f t="shared" ref="V41" si="34">V40-V37</f>
        <v>#REF!</v>
      </c>
      <c r="W41" s="125" t="e">
        <f>W40-W37</f>
        <v>#REF!</v>
      </c>
      <c r="X41" s="180" t="e">
        <f>X40-X37</f>
        <v>#REF!</v>
      </c>
    </row>
    <row r="42" spans="2:24" ht="15" customHeight="1" x14ac:dyDescent="0.25">
      <c r="B42" s="189"/>
      <c r="C42" s="188"/>
      <c r="D42" s="188"/>
      <c r="E42" s="188"/>
      <c r="F42" s="188"/>
      <c r="G42" s="188"/>
      <c r="H42" s="188"/>
      <c r="J42" s="190"/>
      <c r="K42" s="191"/>
      <c r="L42" s="191"/>
      <c r="M42" s="191"/>
      <c r="N42" s="191"/>
      <c r="O42" s="191"/>
      <c r="P42" s="191"/>
      <c r="R42" s="122"/>
      <c r="S42" s="192"/>
      <c r="T42" s="192"/>
      <c r="U42" s="192"/>
      <c r="V42" s="192"/>
      <c r="W42" s="192"/>
      <c r="X42" s="192"/>
    </row>
    <row r="43" spans="2:24" ht="15" customHeight="1" x14ac:dyDescent="0.25">
      <c r="B43" s="111" t="s">
        <v>62</v>
      </c>
      <c r="C43" s="177">
        <v>2020</v>
      </c>
      <c r="D43" s="177" t="s">
        <v>11</v>
      </c>
      <c r="E43" s="177">
        <v>2021</v>
      </c>
      <c r="F43" s="177" t="s">
        <v>11</v>
      </c>
      <c r="G43" s="177" t="s">
        <v>275</v>
      </c>
      <c r="H43" s="177" t="s">
        <v>11</v>
      </c>
      <c r="J43" s="111" t="s">
        <v>63</v>
      </c>
      <c r="K43" s="181">
        <v>2020</v>
      </c>
      <c r="L43" s="181" t="s">
        <v>11</v>
      </c>
      <c r="M43" s="181">
        <v>2021</v>
      </c>
      <c r="N43" s="181" t="s">
        <v>11</v>
      </c>
      <c r="O43" s="181" t="s">
        <v>275</v>
      </c>
      <c r="P43" s="181" t="s">
        <v>11</v>
      </c>
      <c r="R43" s="111" t="s">
        <v>7</v>
      </c>
      <c r="S43" s="182">
        <v>2020</v>
      </c>
      <c r="T43" s="182" t="s">
        <v>11</v>
      </c>
      <c r="U43" s="182">
        <v>2021</v>
      </c>
      <c r="V43" s="182" t="s">
        <v>11</v>
      </c>
      <c r="W43" s="182" t="s">
        <v>275</v>
      </c>
      <c r="X43" s="182" t="s">
        <v>11</v>
      </c>
    </row>
    <row r="44" spans="2:24" ht="15" customHeight="1" x14ac:dyDescent="0.25">
      <c r="B44" s="178" t="s">
        <v>280</v>
      </c>
      <c r="C44" s="116" t="e">
        <f>C35</f>
        <v>#REF!</v>
      </c>
      <c r="D44" s="179" t="e">
        <f>IF(C20=0,0,C44/C20)</f>
        <v>#REF!</v>
      </c>
      <c r="E44" s="116" t="e">
        <f>E35</f>
        <v>#REF!</v>
      </c>
      <c r="F44" s="179" t="e">
        <f>IF(E20=0,0,E44/E20)</f>
        <v>#REF!</v>
      </c>
      <c r="G44" s="116" t="e">
        <f>(C44+E44)/2</f>
        <v>#REF!</v>
      </c>
      <c r="H44" s="179" t="e">
        <f>IF(G20=0,0,G44/G20)</f>
        <v>#REF!</v>
      </c>
      <c r="J44" s="178" t="s">
        <v>280</v>
      </c>
      <c r="K44" s="116" t="e">
        <f>K35</f>
        <v>#REF!</v>
      </c>
      <c r="L44" s="179" t="e">
        <f>IF(K20=0,0,K44/K20)</f>
        <v>#REF!</v>
      </c>
      <c r="M44" s="116" t="e">
        <f>M35</f>
        <v>#REF!</v>
      </c>
      <c r="N44" s="179" t="e">
        <f>IF(M20=0,0,M44/M20)</f>
        <v>#REF!</v>
      </c>
      <c r="O44" s="116" t="e">
        <f t="shared" ref="O44:O45" si="35">(K44+M44)/2</f>
        <v>#REF!</v>
      </c>
      <c r="P44" s="179" t="e">
        <f>IF(O20=0,0,O44/O20)</f>
        <v>#REF!</v>
      </c>
      <c r="R44" s="178" t="s">
        <v>280</v>
      </c>
      <c r="S44" s="116" t="e">
        <f>C44+K44</f>
        <v>#REF!</v>
      </c>
      <c r="T44" s="179" t="e">
        <f>IF(S20=0,0,S44/S20)</f>
        <v>#REF!</v>
      </c>
      <c r="U44" s="116" t="e">
        <f>E44+M44</f>
        <v>#REF!</v>
      </c>
      <c r="V44" s="179" t="e">
        <f>IF(U20=0,0,U44/U20)</f>
        <v>#REF!</v>
      </c>
      <c r="W44" s="116" t="e">
        <f>G44+O44</f>
        <v>#REF!</v>
      </c>
      <c r="X44" s="179" t="e">
        <f>IF(W20=0,0,W44/W20)</f>
        <v>#REF!</v>
      </c>
    </row>
    <row r="45" spans="2:24" ht="15" customHeight="1" x14ac:dyDescent="0.25">
      <c r="B45" s="183" t="s">
        <v>83</v>
      </c>
      <c r="C45" s="116" t="e">
        <f>C44*#REF!/#REF!</f>
        <v>#REF!</v>
      </c>
      <c r="D45" s="179" t="e">
        <f>IF(C20=0,0,C45/C20)</f>
        <v>#REF!</v>
      </c>
      <c r="E45" s="116" t="e">
        <f>E44*#REF!</f>
        <v>#REF!</v>
      </c>
      <c r="F45" s="179" t="e">
        <f>IF(E20=0,0,E45/E20)</f>
        <v>#REF!</v>
      </c>
      <c r="G45" s="116" t="e">
        <f>(C45+E45)/2</f>
        <v>#REF!</v>
      </c>
      <c r="H45" s="179" t="e">
        <f>IF(G20=0,0,G45/G20)</f>
        <v>#REF!</v>
      </c>
      <c r="J45" s="183" t="s">
        <v>83</v>
      </c>
      <c r="K45" s="116" t="e">
        <f>K44*#REF!</f>
        <v>#REF!</v>
      </c>
      <c r="L45" s="179" t="e">
        <f>IF(K20=0,0,K45/K20)</f>
        <v>#REF!</v>
      </c>
      <c r="M45" s="116" t="e">
        <f>M44*#REF!</f>
        <v>#REF!</v>
      </c>
      <c r="N45" s="179" t="e">
        <f>IF(M20=0,0,M45/M20)</f>
        <v>#REF!</v>
      </c>
      <c r="O45" s="116" t="e">
        <f t="shared" si="35"/>
        <v>#REF!</v>
      </c>
      <c r="P45" s="179" t="e">
        <f>IF(O20=0,0,O45/O20)</f>
        <v>#REF!</v>
      </c>
      <c r="R45" s="183" t="s">
        <v>83</v>
      </c>
      <c r="S45" s="116" t="e">
        <f>C45+K45</f>
        <v>#REF!</v>
      </c>
      <c r="T45" s="179" t="e">
        <f>IF(S20=0,0,S45/S20)</f>
        <v>#REF!</v>
      </c>
      <c r="U45" s="116" t="e">
        <f>E45+M45</f>
        <v>#REF!</v>
      </c>
      <c r="V45" s="179" t="e">
        <f>IF(U20=0,0,U45/U20)</f>
        <v>#REF!</v>
      </c>
      <c r="W45" s="116" t="e">
        <f>G45+O45</f>
        <v>#REF!</v>
      </c>
      <c r="X45" s="179" t="e">
        <f>IF(W20=0,0,W45/W20)</f>
        <v>#REF!</v>
      </c>
    </row>
    <row r="46" spans="2:24" ht="15" customHeight="1" x14ac:dyDescent="0.25">
      <c r="B46" s="130" t="s">
        <v>276</v>
      </c>
      <c r="C46" s="125" t="e">
        <f t="shared" ref="C46:H46" si="36">C45-C44</f>
        <v>#REF!</v>
      </c>
      <c r="D46" s="180" t="e">
        <f t="shared" si="36"/>
        <v>#REF!</v>
      </c>
      <c r="E46" s="125" t="e">
        <f t="shared" si="36"/>
        <v>#REF!</v>
      </c>
      <c r="F46" s="180" t="e">
        <f t="shared" si="36"/>
        <v>#REF!</v>
      </c>
      <c r="G46" s="125" t="e">
        <f t="shared" si="36"/>
        <v>#REF!</v>
      </c>
      <c r="H46" s="180" t="e">
        <f t="shared" si="36"/>
        <v>#REF!</v>
      </c>
      <c r="J46" s="130" t="s">
        <v>276</v>
      </c>
      <c r="K46" s="125" t="e">
        <f>K45-K44</f>
        <v>#REF!</v>
      </c>
      <c r="L46" s="180" t="e">
        <f t="shared" ref="L46" si="37">L45-L44</f>
        <v>#REF!</v>
      </c>
      <c r="M46" s="125" t="e">
        <f>M45-M44</f>
        <v>#REF!</v>
      </c>
      <c r="N46" s="180" t="e">
        <f t="shared" ref="N46" si="38">N45-N44</f>
        <v>#REF!</v>
      </c>
      <c r="O46" s="125" t="e">
        <f>O45-O44</f>
        <v>#REF!</v>
      </c>
      <c r="P46" s="180" t="e">
        <f>P45-P44</f>
        <v>#REF!</v>
      </c>
      <c r="R46" s="130" t="s">
        <v>276</v>
      </c>
      <c r="S46" s="125" t="e">
        <f>S45-S44</f>
        <v>#REF!</v>
      </c>
      <c r="T46" s="180" t="e">
        <f t="shared" ref="T46" si="39">T45-T44</f>
        <v>#REF!</v>
      </c>
      <c r="U46" s="125" t="e">
        <f>U45-U44</f>
        <v>#REF!</v>
      </c>
      <c r="V46" s="180" t="e">
        <f t="shared" ref="V46" si="40">V45-V44</f>
        <v>#REF!</v>
      </c>
      <c r="W46" s="125" t="e">
        <f>W45-W44</f>
        <v>#REF!</v>
      </c>
      <c r="X46" s="180" t="e">
        <f t="shared" ref="X46" si="41">X45-X44</f>
        <v>#REF!</v>
      </c>
    </row>
    <row r="47" spans="2:24" ht="15" customHeight="1" x14ac:dyDescent="0.25">
      <c r="B47" s="178" t="s">
        <v>281</v>
      </c>
      <c r="C47" s="116" t="e">
        <f>C36</f>
        <v>#REF!</v>
      </c>
      <c r="D47" s="179" t="e">
        <f>IF(C20=0,0,C47/C20)</f>
        <v>#REF!</v>
      </c>
      <c r="E47" s="116" t="e">
        <f>E36</f>
        <v>#REF!</v>
      </c>
      <c r="F47" s="179" t="e">
        <f>IF(E20=0,0,E47/E20)</f>
        <v>#REF!</v>
      </c>
      <c r="G47" s="116" t="e">
        <f>(C47+E47)/2</f>
        <v>#REF!</v>
      </c>
      <c r="H47" s="179" t="e">
        <f>IF(G20=0,0,G47/G20)</f>
        <v>#REF!</v>
      </c>
      <c r="J47" s="178" t="s">
        <v>281</v>
      </c>
      <c r="K47" s="116" t="e">
        <f>K36</f>
        <v>#REF!</v>
      </c>
      <c r="L47" s="179" t="e">
        <f>IF(K20=0,0,K47/K20)</f>
        <v>#REF!</v>
      </c>
      <c r="M47" s="116" t="e">
        <f t="shared" ref="M47" si="42">M36</f>
        <v>#REF!</v>
      </c>
      <c r="N47" s="179" t="e">
        <f>IF(M20=0,0,M47/M20)</f>
        <v>#REF!</v>
      </c>
      <c r="O47" s="116" t="e">
        <f>(K47+M47)/2</f>
        <v>#REF!</v>
      </c>
      <c r="P47" s="179" t="e">
        <f>IF(O20=0,0,O47/O20)</f>
        <v>#REF!</v>
      </c>
      <c r="R47" s="178" t="s">
        <v>281</v>
      </c>
      <c r="S47" s="116" t="e">
        <f>C47+K47</f>
        <v>#REF!</v>
      </c>
      <c r="T47" s="179" t="e">
        <f>IF(S20=0,0,S47/S20)</f>
        <v>#REF!</v>
      </c>
      <c r="U47" s="116" t="e">
        <f>E47+M47</f>
        <v>#REF!</v>
      </c>
      <c r="V47" s="179" t="e">
        <f>IF(U20=0,0,U47/U20)</f>
        <v>#REF!</v>
      </c>
      <c r="W47" s="116" t="e">
        <f>G47+O47</f>
        <v>#REF!</v>
      </c>
      <c r="X47" s="179" t="e">
        <f>IF(W20=0,0,W47/W20)</f>
        <v>#REF!</v>
      </c>
    </row>
    <row r="48" spans="2:24" ht="15" customHeight="1" x14ac:dyDescent="0.25">
      <c r="B48" s="183" t="s">
        <v>83</v>
      </c>
      <c r="C48" s="116" t="e">
        <f>C47*#REF!/#REF!</f>
        <v>#REF!</v>
      </c>
      <c r="D48" s="179" t="e">
        <f>IF(C20=0,0,C48/C20)</f>
        <v>#REF!</v>
      </c>
      <c r="E48" s="116" t="e">
        <f>E47*#REF!</f>
        <v>#REF!</v>
      </c>
      <c r="F48" s="179" t="e">
        <f>IF(E20=0,0,E48/E20)</f>
        <v>#REF!</v>
      </c>
      <c r="G48" s="116" t="e">
        <f>(C48+E48)/2</f>
        <v>#REF!</v>
      </c>
      <c r="H48" s="179" t="e">
        <f>IF(G20=0,0,G48/G20)</f>
        <v>#REF!</v>
      </c>
      <c r="J48" s="183" t="s">
        <v>83</v>
      </c>
      <c r="K48" s="116" t="e">
        <f>K47*#REF!</f>
        <v>#REF!</v>
      </c>
      <c r="L48" s="179" t="e">
        <f>IF(K20=0,0,K48/K20)</f>
        <v>#REF!</v>
      </c>
      <c r="M48" s="116" t="e">
        <f>M47*#REF!</f>
        <v>#REF!</v>
      </c>
      <c r="N48" s="179" t="e">
        <f>IF(M20=0,0,M48/M20)</f>
        <v>#REF!</v>
      </c>
      <c r="O48" s="116" t="e">
        <f>(K48+M48)/2</f>
        <v>#REF!</v>
      </c>
      <c r="P48" s="179" t="e">
        <f>IF(O20=0,0,O48/O20)</f>
        <v>#REF!</v>
      </c>
      <c r="R48" s="183" t="s">
        <v>83</v>
      </c>
      <c r="S48" s="116" t="e">
        <f>C48+K48</f>
        <v>#REF!</v>
      </c>
      <c r="T48" s="179" t="e">
        <f>IF(S20=0,0,S48/S20)</f>
        <v>#REF!</v>
      </c>
      <c r="U48" s="116" t="e">
        <f>E48+M48</f>
        <v>#REF!</v>
      </c>
      <c r="V48" s="179" t="e">
        <f>IF(U20=0,0,U48/U20)</f>
        <v>#REF!</v>
      </c>
      <c r="W48" s="116" t="e">
        <f>G48+O48</f>
        <v>#REF!</v>
      </c>
      <c r="X48" s="179" t="e">
        <f>IF(W20=0,0,W48/W20)</f>
        <v>#REF!</v>
      </c>
    </row>
    <row r="49" spans="2:24" ht="15" customHeight="1" x14ac:dyDescent="0.25">
      <c r="B49" s="184" t="s">
        <v>279</v>
      </c>
      <c r="C49" s="124" t="e">
        <f>C47</f>
        <v>#REF!</v>
      </c>
      <c r="D49" s="179" t="e">
        <f>IF(C20=0,0,C49/C20)</f>
        <v>#REF!</v>
      </c>
      <c r="E49" s="124" t="e">
        <f>E47</f>
        <v>#REF!</v>
      </c>
      <c r="F49" s="179" t="e">
        <f>IF(E20=0,0,E49/E20)</f>
        <v>#REF!</v>
      </c>
      <c r="G49" s="116" t="e">
        <f>(C49+E49)/2</f>
        <v>#REF!</v>
      </c>
      <c r="H49" s="179" t="e">
        <f>IF(G20=0,0,G49/G20)</f>
        <v>#REF!</v>
      </c>
      <c r="J49" s="184" t="s">
        <v>279</v>
      </c>
      <c r="K49" s="124" t="e">
        <f>K47</f>
        <v>#REF!</v>
      </c>
      <c r="L49" s="179" t="e">
        <f>IF(K20=0,0,K49/K20)</f>
        <v>#REF!</v>
      </c>
      <c r="M49" s="124" t="e">
        <f>M47</f>
        <v>#REF!</v>
      </c>
      <c r="N49" s="179" t="e">
        <f>IF(M20=0,0,M49/M20)</f>
        <v>#REF!</v>
      </c>
      <c r="O49" s="116" t="e">
        <f>(K49+M49)/2</f>
        <v>#REF!</v>
      </c>
      <c r="P49" s="179" t="e">
        <f>IF(O20=0,0,O49/O20)</f>
        <v>#REF!</v>
      </c>
      <c r="R49" s="184" t="s">
        <v>279</v>
      </c>
      <c r="S49" s="116" t="e">
        <f>C49+K49</f>
        <v>#REF!</v>
      </c>
      <c r="T49" s="179" t="e">
        <f>IF(S20=0,0,S49/S20)</f>
        <v>#REF!</v>
      </c>
      <c r="U49" s="116" t="e">
        <f>E49+M49</f>
        <v>#REF!</v>
      </c>
      <c r="V49" s="179" t="e">
        <f>IF(U20=0,0,U49/U20)</f>
        <v>#REF!</v>
      </c>
      <c r="W49" s="116" t="e">
        <f>G49+O49</f>
        <v>#REF!</v>
      </c>
      <c r="X49" s="179" t="e">
        <f>IF(W20=0,0,W49/W20)</f>
        <v>#REF!</v>
      </c>
    </row>
    <row r="50" spans="2:24" ht="15" customHeight="1" x14ac:dyDescent="0.25">
      <c r="B50" s="126" t="s">
        <v>277</v>
      </c>
      <c r="C50" s="118" t="e">
        <f>C48+C49-C47</f>
        <v>#REF!</v>
      </c>
      <c r="D50" s="180" t="e">
        <f>D48+D49-D47</f>
        <v>#REF!</v>
      </c>
      <c r="E50" s="118" t="e">
        <f>E48+E49-E47</f>
        <v>#REF!</v>
      </c>
      <c r="F50" s="180" t="e">
        <f>F48+F49-F47</f>
        <v>#REF!</v>
      </c>
      <c r="G50" s="118" t="e">
        <f t="shared" ref="G50" si="43">G48+G49-G47</f>
        <v>#REF!</v>
      </c>
      <c r="H50" s="180" t="e">
        <f>H48+H49-H47</f>
        <v>#REF!</v>
      </c>
      <c r="J50" s="126" t="s">
        <v>277</v>
      </c>
      <c r="K50" s="118" t="e">
        <f>K48+K49-K47</f>
        <v>#REF!</v>
      </c>
      <c r="L50" s="180" t="e">
        <f>L48+L49-L47</f>
        <v>#REF!</v>
      </c>
      <c r="M50" s="118" t="e">
        <f>M48+M49-M47</f>
        <v>#REF!</v>
      </c>
      <c r="N50" s="180" t="e">
        <f>N48+N49-N47</f>
        <v>#REF!</v>
      </c>
      <c r="O50" s="118" t="e">
        <f t="shared" ref="O50" si="44">O48+O49-O47</f>
        <v>#REF!</v>
      </c>
      <c r="P50" s="180" t="e">
        <f>P48+P49-P47</f>
        <v>#REF!</v>
      </c>
      <c r="R50" s="126" t="s">
        <v>277</v>
      </c>
      <c r="S50" s="118" t="e">
        <f t="shared" ref="S50:X50" si="45">S48+S49-S47</f>
        <v>#REF!</v>
      </c>
      <c r="T50" s="180" t="e">
        <f t="shared" si="45"/>
        <v>#REF!</v>
      </c>
      <c r="U50" s="118" t="e">
        <f t="shared" si="45"/>
        <v>#REF!</v>
      </c>
      <c r="V50" s="180" t="e">
        <f t="shared" si="45"/>
        <v>#REF!</v>
      </c>
      <c r="W50" s="118" t="e">
        <f t="shared" si="45"/>
        <v>#REF!</v>
      </c>
      <c r="X50" s="180" t="e">
        <f t="shared" si="45"/>
        <v>#REF!</v>
      </c>
    </row>
    <row r="51" spans="2:24" ht="15" customHeight="1" x14ac:dyDescent="0.25">
      <c r="B51" s="126" t="s">
        <v>148</v>
      </c>
      <c r="C51" s="125" t="e">
        <f>C46+C50</f>
        <v>#REF!</v>
      </c>
      <c r="D51" s="180" t="e">
        <f>D46+D50</f>
        <v>#REF!</v>
      </c>
      <c r="E51" s="125" t="e">
        <f>E46+E50</f>
        <v>#REF!</v>
      </c>
      <c r="F51" s="180" t="e">
        <f>F46+F50</f>
        <v>#REF!</v>
      </c>
      <c r="G51" s="125" t="e">
        <f t="shared" ref="G51" si="46">G46+G50</f>
        <v>#REF!</v>
      </c>
      <c r="H51" s="180" t="e">
        <f>H46+H50</f>
        <v>#REF!</v>
      </c>
      <c r="J51" s="126" t="s">
        <v>148</v>
      </c>
      <c r="K51" s="125" t="e">
        <f>K46+K50</f>
        <v>#REF!</v>
      </c>
      <c r="L51" s="180" t="e">
        <f>L46+L50</f>
        <v>#REF!</v>
      </c>
      <c r="M51" s="125" t="e">
        <f>M46+M50</f>
        <v>#REF!</v>
      </c>
      <c r="N51" s="180" t="e">
        <f>N46+N50</f>
        <v>#REF!</v>
      </c>
      <c r="O51" s="125" t="e">
        <f t="shared" ref="O51" si="47">O46+O50</f>
        <v>#REF!</v>
      </c>
      <c r="P51" s="180" t="e">
        <f>P46+P50</f>
        <v>#REF!</v>
      </c>
      <c r="R51" s="126" t="s">
        <v>148</v>
      </c>
      <c r="S51" s="125" t="e">
        <f t="shared" ref="S51:X51" si="48">S46+S50</f>
        <v>#REF!</v>
      </c>
      <c r="T51" s="180" t="e">
        <f t="shared" si="48"/>
        <v>#REF!</v>
      </c>
      <c r="U51" s="125" t="e">
        <f t="shared" si="48"/>
        <v>#REF!</v>
      </c>
      <c r="V51" s="180" t="e">
        <f t="shared" si="48"/>
        <v>#REF!</v>
      </c>
      <c r="W51" s="125" t="e">
        <f t="shared" si="48"/>
        <v>#REF!</v>
      </c>
      <c r="X51" s="180" t="e">
        <f t="shared" si="48"/>
        <v>#REF!</v>
      </c>
    </row>
    <row r="52" spans="2:24" ht="15" customHeight="1" x14ac:dyDescent="0.25">
      <c r="B52" s="178"/>
      <c r="C52" s="112"/>
      <c r="D52" s="116"/>
      <c r="E52" s="112"/>
      <c r="F52" s="124"/>
      <c r="G52" s="116"/>
      <c r="H52" s="179"/>
      <c r="J52" s="185"/>
      <c r="K52" s="116"/>
      <c r="L52" s="116"/>
      <c r="M52" s="116"/>
      <c r="N52" s="112"/>
      <c r="O52" s="116"/>
      <c r="P52" s="179"/>
      <c r="R52" s="185"/>
      <c r="S52" s="116"/>
      <c r="T52" s="116"/>
      <c r="U52" s="116"/>
      <c r="V52" s="116"/>
      <c r="W52" s="179"/>
      <c r="X52" s="112"/>
    </row>
    <row r="53" spans="2:24" ht="15" customHeight="1" x14ac:dyDescent="0.25">
      <c r="B53" s="189" t="s">
        <v>355</v>
      </c>
      <c r="C53" s="188"/>
      <c r="D53" s="188"/>
      <c r="E53" s="188"/>
      <c r="F53" s="188"/>
      <c r="G53" s="188"/>
      <c r="H53" s="188"/>
      <c r="J53" s="190" t="str">
        <f>B53</f>
        <v>budget consultance retraité</v>
      </c>
      <c r="K53" s="191"/>
      <c r="L53" s="191"/>
      <c r="M53" s="191"/>
      <c r="N53" s="191"/>
      <c r="O53" s="191"/>
      <c r="P53" s="191"/>
      <c r="R53" s="122" t="str">
        <f>B53</f>
        <v>budget consultance retraité</v>
      </c>
      <c r="S53" s="192"/>
      <c r="T53" s="192"/>
      <c r="U53" s="192"/>
      <c r="V53" s="192"/>
      <c r="W53" s="192"/>
      <c r="X53" s="192"/>
    </row>
    <row r="54" spans="2:24" ht="15" customHeight="1" x14ac:dyDescent="0.25">
      <c r="B54" s="111" t="s">
        <v>62</v>
      </c>
      <c r="C54" s="177">
        <v>2020</v>
      </c>
      <c r="D54" s="177" t="s">
        <v>11</v>
      </c>
      <c r="E54" s="177">
        <v>2021</v>
      </c>
      <c r="F54" s="177" t="s">
        <v>11</v>
      </c>
      <c r="G54" s="177" t="s">
        <v>275</v>
      </c>
      <c r="H54" s="177" t="s">
        <v>11</v>
      </c>
      <c r="J54" s="111" t="s">
        <v>63</v>
      </c>
      <c r="K54" s="181">
        <v>2020</v>
      </c>
      <c r="L54" s="181" t="s">
        <v>11</v>
      </c>
      <c r="M54" s="181">
        <v>2021</v>
      </c>
      <c r="N54" s="181" t="s">
        <v>11</v>
      </c>
      <c r="O54" s="181" t="s">
        <v>275</v>
      </c>
      <c r="P54" s="181" t="s">
        <v>11</v>
      </c>
      <c r="R54" s="111" t="s">
        <v>7</v>
      </c>
      <c r="S54" s="182">
        <v>2020</v>
      </c>
      <c r="T54" s="182" t="s">
        <v>11</v>
      </c>
      <c r="U54" s="182">
        <v>2021</v>
      </c>
      <c r="V54" s="182" t="s">
        <v>11</v>
      </c>
      <c r="W54" s="182" t="s">
        <v>275</v>
      </c>
      <c r="X54" s="182" t="s">
        <v>11</v>
      </c>
    </row>
    <row r="55" spans="2:24" ht="15" customHeight="1" x14ac:dyDescent="0.25">
      <c r="B55" s="178" t="s">
        <v>280</v>
      </c>
      <c r="C55" s="116" t="e">
        <f>C26</f>
        <v>#REF!</v>
      </c>
      <c r="D55" s="179" t="e">
        <f>IF(C28=0,0,C55/C28)</f>
        <v>#REF!</v>
      </c>
      <c r="E55" s="116" t="e">
        <f>E26</f>
        <v>#REF!</v>
      </c>
      <c r="F55" s="179" t="e">
        <f>IF(E28=0,0,E55/E28)</f>
        <v>#REF!</v>
      </c>
      <c r="G55" s="116" t="e">
        <f>(C55+E55)/2</f>
        <v>#REF!</v>
      </c>
      <c r="H55" s="179" t="e">
        <f>IF(G28=0,0,G55/G28)</f>
        <v>#REF!</v>
      </c>
      <c r="J55" s="178" t="s">
        <v>280</v>
      </c>
      <c r="K55" s="116" t="e">
        <f>K26</f>
        <v>#REF!</v>
      </c>
      <c r="L55" s="179" t="e">
        <f>IF(K28=0,0,K55/K28)</f>
        <v>#REF!</v>
      </c>
      <c r="M55" s="116" t="e">
        <f>M26</f>
        <v>#REF!</v>
      </c>
      <c r="N55" s="179" t="e">
        <f>IF(M28=0,0,M55/M28)</f>
        <v>#REF!</v>
      </c>
      <c r="O55" s="116" t="e">
        <f>(K55+M55)/2</f>
        <v>#REF!</v>
      </c>
      <c r="P55" s="179" t="e">
        <f>IF(O28=0,0,O55/O28)</f>
        <v>#REF!</v>
      </c>
      <c r="R55" s="178" t="s">
        <v>280</v>
      </c>
      <c r="S55" s="116" t="e">
        <f>C55+K55</f>
        <v>#REF!</v>
      </c>
      <c r="T55" s="179" t="e">
        <f>IF(S28=0,0,S55/S28)</f>
        <v>#REF!</v>
      </c>
      <c r="U55" s="116" t="e">
        <f>E55+M55</f>
        <v>#REF!</v>
      </c>
      <c r="V55" s="179" t="e">
        <f>IF(U28=0,0,U55/U28)</f>
        <v>#REF!</v>
      </c>
      <c r="W55" s="116" t="e">
        <f>G55+O55</f>
        <v>#REF!</v>
      </c>
      <c r="X55" s="179" t="e">
        <f>IF(W28=0,0,W55/W28)</f>
        <v>#REF!</v>
      </c>
    </row>
    <row r="56" spans="2:24" ht="15" customHeight="1" x14ac:dyDescent="0.25">
      <c r="B56" s="178" t="s">
        <v>281</v>
      </c>
      <c r="C56" s="116">
        <f>C27</f>
        <v>203861</v>
      </c>
      <c r="D56" s="179" t="e">
        <f>IF(C28=0,0,C56/C28)</f>
        <v>#REF!</v>
      </c>
      <c r="E56" s="116">
        <f>E27</f>
        <v>233280</v>
      </c>
      <c r="F56" s="179" t="e">
        <f>IF(E28=0,0,E56/E28)</f>
        <v>#REF!</v>
      </c>
      <c r="G56" s="116">
        <f>(C56+E56)/2</f>
        <v>218570.5</v>
      </c>
      <c r="H56" s="179" t="e">
        <f>IF(G28=0,0,G56/G28)</f>
        <v>#REF!</v>
      </c>
      <c r="J56" s="178" t="s">
        <v>281</v>
      </c>
      <c r="K56" s="116" t="e">
        <f>K27</f>
        <v>#REF!</v>
      </c>
      <c r="L56" s="179" t="e">
        <f>IF(K28=0,0,K56/K28)</f>
        <v>#REF!</v>
      </c>
      <c r="M56" s="116" t="e">
        <f>M27</f>
        <v>#REF!</v>
      </c>
      <c r="N56" s="179" t="e">
        <f>IF(M28=0,0,M56/M28)</f>
        <v>#REF!</v>
      </c>
      <c r="O56" s="116" t="e">
        <f>(K56+M56)/2</f>
        <v>#REF!</v>
      </c>
      <c r="P56" s="179" t="e">
        <f>IF(O28=0,0,O56/O28)</f>
        <v>#REF!</v>
      </c>
      <c r="R56" s="178" t="s">
        <v>281</v>
      </c>
      <c r="S56" s="116" t="e">
        <f>C56+K56</f>
        <v>#REF!</v>
      </c>
      <c r="T56" s="179" t="e">
        <f>IF(S28=0,0,S56/S28)</f>
        <v>#REF!</v>
      </c>
      <c r="U56" s="116" t="e">
        <f>E56+M56</f>
        <v>#REF!</v>
      </c>
      <c r="V56" s="179" t="e">
        <f>IF(U28=0,0,U56/U28)</f>
        <v>#REF!</v>
      </c>
      <c r="W56" s="116" t="e">
        <f>G56+O56</f>
        <v>#REF!</v>
      </c>
      <c r="X56" s="179" t="e">
        <f>IF(W28=0,0,W56/W28)</f>
        <v>#REF!</v>
      </c>
    </row>
    <row r="57" spans="2:24" ht="15" customHeight="1" x14ac:dyDescent="0.25">
      <c r="B57" s="130" t="s">
        <v>160</v>
      </c>
      <c r="C57" s="125" t="e">
        <f t="shared" ref="C57:H57" si="49">SUM(C55:C56)</f>
        <v>#REF!</v>
      </c>
      <c r="D57" s="180" t="e">
        <f t="shared" si="49"/>
        <v>#REF!</v>
      </c>
      <c r="E57" s="125" t="e">
        <f t="shared" si="49"/>
        <v>#REF!</v>
      </c>
      <c r="F57" s="180" t="e">
        <f t="shared" si="49"/>
        <v>#REF!</v>
      </c>
      <c r="G57" s="125" t="e">
        <f t="shared" si="49"/>
        <v>#REF!</v>
      </c>
      <c r="H57" s="180" t="e">
        <f t="shared" si="49"/>
        <v>#REF!</v>
      </c>
      <c r="J57" s="130" t="s">
        <v>160</v>
      </c>
      <c r="K57" s="125" t="e">
        <f>SUM(K55:K56)</f>
        <v>#REF!</v>
      </c>
      <c r="L57" s="180" t="e">
        <f t="shared" ref="L57" si="50">SUM(L55:L56)</f>
        <v>#REF!</v>
      </c>
      <c r="M57" s="125" t="e">
        <f>SUM(M55:M56)</f>
        <v>#REF!</v>
      </c>
      <c r="N57" s="180" t="e">
        <f t="shared" ref="N57" si="51">SUM(N55:N56)</f>
        <v>#REF!</v>
      </c>
      <c r="O57" s="125" t="e">
        <f>SUM(O55:O56)</f>
        <v>#REF!</v>
      </c>
      <c r="P57" s="180" t="e">
        <f>SUM(P55:P56)</f>
        <v>#REF!</v>
      </c>
      <c r="R57" s="130" t="s">
        <v>160</v>
      </c>
      <c r="S57" s="125" t="e">
        <f t="shared" ref="S57:T57" si="52">SUM(S55:S56)</f>
        <v>#REF!</v>
      </c>
      <c r="T57" s="180" t="e">
        <f t="shared" si="52"/>
        <v>#REF!</v>
      </c>
      <c r="U57" s="125" t="e">
        <f t="shared" ref="U57:V57" si="53">SUM(U55:U56)</f>
        <v>#REF!</v>
      </c>
      <c r="V57" s="180" t="e">
        <f t="shared" si="53"/>
        <v>#REF!</v>
      </c>
      <c r="W57" s="125" t="e">
        <f t="shared" ref="W57:X57" si="54">SUM(W55:W56)</f>
        <v>#REF!</v>
      </c>
      <c r="X57" s="180" t="e">
        <f t="shared" si="54"/>
        <v>#REF!</v>
      </c>
    </row>
    <row r="58" spans="2:24" ht="15" customHeight="1" x14ac:dyDescent="0.25">
      <c r="B58" s="183" t="s">
        <v>83</v>
      </c>
      <c r="C58" s="116" t="e">
        <f>C57*#REF!/#REF!</f>
        <v>#REF!</v>
      </c>
      <c r="D58" s="179" t="e">
        <f>IF(C28=0,0,C58/C28)</f>
        <v>#REF!</v>
      </c>
      <c r="E58" s="116" t="e">
        <f>E57*#REF!</f>
        <v>#REF!</v>
      </c>
      <c r="F58" s="179" t="e">
        <f>IF(E28=0,0,E58/E28)</f>
        <v>#REF!</v>
      </c>
      <c r="G58" s="116" t="e">
        <f>(C58+E58)/2</f>
        <v>#REF!</v>
      </c>
      <c r="H58" s="179" t="e">
        <f>IF(G28=0,0,G58/G28)</f>
        <v>#REF!</v>
      </c>
      <c r="J58" s="183" t="s">
        <v>83</v>
      </c>
      <c r="K58" s="116" t="e">
        <f>K57*#REF!</f>
        <v>#REF!</v>
      </c>
      <c r="L58" s="179" t="e">
        <f>IF(K28=0,0,K58/K28)</f>
        <v>#REF!</v>
      </c>
      <c r="M58" s="116" t="e">
        <f>M57*#REF!</f>
        <v>#REF!</v>
      </c>
      <c r="N58" s="179" t="e">
        <f>IF(M28=0,0,M58/M28)</f>
        <v>#REF!</v>
      </c>
      <c r="O58" s="116" t="e">
        <f>(K58+M58)/2</f>
        <v>#REF!</v>
      </c>
      <c r="P58" s="179" t="e">
        <f>IF(O28=0,0,O58/O28)</f>
        <v>#REF!</v>
      </c>
      <c r="R58" s="183" t="s">
        <v>83</v>
      </c>
      <c r="S58" s="116" t="e">
        <f>C58+K58</f>
        <v>#REF!</v>
      </c>
      <c r="T58" s="179" t="e">
        <f>IF(S28=0,0,S58/S28)</f>
        <v>#REF!</v>
      </c>
      <c r="U58" s="116" t="e">
        <f>E58+M58</f>
        <v>#REF!</v>
      </c>
      <c r="V58" s="179" t="e">
        <f>IF(U28=0,0,U58/U28)</f>
        <v>#REF!</v>
      </c>
      <c r="W58" s="116" t="e">
        <f>G58+O58</f>
        <v>#REF!</v>
      </c>
      <c r="X58" s="179" t="e">
        <f>IF(W28=0,0,W58/W28)</f>
        <v>#REF!</v>
      </c>
    </row>
    <row r="59" spans="2:24" ht="15" customHeight="1" x14ac:dyDescent="0.25">
      <c r="B59" s="184" t="s">
        <v>279</v>
      </c>
      <c r="C59" s="124">
        <f>C56</f>
        <v>203861</v>
      </c>
      <c r="D59" s="179" t="e">
        <f>IF(C28=0,0,C59/C28)</f>
        <v>#REF!</v>
      </c>
      <c r="E59" s="124">
        <f>E56</f>
        <v>233280</v>
      </c>
      <c r="F59" s="179" t="e">
        <f>IF(E28=0,0,E59/E28)</f>
        <v>#REF!</v>
      </c>
      <c r="G59" s="116">
        <f>(C59+E59)/2</f>
        <v>218570.5</v>
      </c>
      <c r="H59" s="179" t="e">
        <f>IF(G28=0,0,G59/G28)</f>
        <v>#REF!</v>
      </c>
      <c r="J59" s="184" t="s">
        <v>279</v>
      </c>
      <c r="K59" s="124" t="e">
        <f>K56</f>
        <v>#REF!</v>
      </c>
      <c r="L59" s="179" t="e">
        <f>IF(K28=0,0,K59/K28)</f>
        <v>#REF!</v>
      </c>
      <c r="M59" s="124" t="e">
        <f>M56</f>
        <v>#REF!</v>
      </c>
      <c r="N59" s="179" t="e">
        <f>IF(M28=0,0,M59/M28)</f>
        <v>#REF!</v>
      </c>
      <c r="O59" s="116" t="e">
        <f>(K59+M59)/2</f>
        <v>#REF!</v>
      </c>
      <c r="P59" s="179" t="e">
        <f>IF(O28=0,0,O59/O28)</f>
        <v>#REF!</v>
      </c>
      <c r="R59" s="184" t="s">
        <v>279</v>
      </c>
      <c r="S59" s="116" t="e">
        <f>C59+K59</f>
        <v>#REF!</v>
      </c>
      <c r="T59" s="179" t="e">
        <f>IF(S28=0,0,S59/S28)</f>
        <v>#REF!</v>
      </c>
      <c r="U59" s="116" t="e">
        <f>E59+M59</f>
        <v>#REF!</v>
      </c>
      <c r="V59" s="179" t="e">
        <f>IF(U28=0,0,U59/U28)</f>
        <v>#REF!</v>
      </c>
      <c r="W59" s="116" t="e">
        <f>G59+O59</f>
        <v>#REF!</v>
      </c>
      <c r="X59" s="179" t="e">
        <f>IF(W28=0,0,W59/W28)</f>
        <v>#REF!</v>
      </c>
    </row>
    <row r="60" spans="2:24" ht="15" customHeight="1" x14ac:dyDescent="0.25">
      <c r="B60" s="126" t="s">
        <v>78</v>
      </c>
      <c r="C60" s="118" t="e">
        <f t="shared" ref="C60:H60" si="55">SUM(C58:C59)</f>
        <v>#REF!</v>
      </c>
      <c r="D60" s="180" t="e">
        <f t="shared" si="55"/>
        <v>#REF!</v>
      </c>
      <c r="E60" s="118" t="e">
        <f t="shared" si="55"/>
        <v>#REF!</v>
      </c>
      <c r="F60" s="180" t="e">
        <f t="shared" si="55"/>
        <v>#REF!</v>
      </c>
      <c r="G60" s="118" t="e">
        <f t="shared" si="55"/>
        <v>#REF!</v>
      </c>
      <c r="H60" s="180" t="e">
        <f t="shared" si="55"/>
        <v>#REF!</v>
      </c>
      <c r="J60" s="126" t="s">
        <v>78</v>
      </c>
      <c r="K60" s="118" t="e">
        <f>SUM(K58:K59)</f>
        <v>#REF!</v>
      </c>
      <c r="L60" s="180" t="e">
        <f t="shared" ref="L60" si="56">SUM(L58:L59)</f>
        <v>#REF!</v>
      </c>
      <c r="M60" s="118" t="e">
        <f>SUM(M58:M59)</f>
        <v>#REF!</v>
      </c>
      <c r="N60" s="180" t="e">
        <f t="shared" ref="N60" si="57">SUM(N58:N59)</f>
        <v>#REF!</v>
      </c>
      <c r="O60" s="118" t="e">
        <f t="shared" ref="O60" si="58">SUM(O58:O59)</f>
        <v>#REF!</v>
      </c>
      <c r="P60" s="180" t="e">
        <f>SUM(P58:P59)</f>
        <v>#REF!</v>
      </c>
      <c r="R60" s="126" t="s">
        <v>78</v>
      </c>
      <c r="S60" s="125" t="e">
        <f t="shared" ref="S60:T60" si="59">SUM(S58:S59)</f>
        <v>#REF!</v>
      </c>
      <c r="T60" s="180" t="e">
        <f t="shared" si="59"/>
        <v>#REF!</v>
      </c>
      <c r="U60" s="125" t="e">
        <f t="shared" ref="U60:V60" si="60">SUM(U58:U59)</f>
        <v>#REF!</v>
      </c>
      <c r="V60" s="180" t="e">
        <f t="shared" si="60"/>
        <v>#REF!</v>
      </c>
      <c r="W60" s="125" t="e">
        <f t="shared" ref="W60:X60" si="61">SUM(W58:W59)</f>
        <v>#REF!</v>
      </c>
      <c r="X60" s="180" t="e">
        <f t="shared" si="61"/>
        <v>#REF!</v>
      </c>
    </row>
    <row r="61" spans="2:24" ht="15" customHeight="1" x14ac:dyDescent="0.25">
      <c r="B61" s="126" t="s">
        <v>148</v>
      </c>
      <c r="C61" s="125" t="e">
        <f t="shared" ref="C61:H61" si="62">C60-C57</f>
        <v>#REF!</v>
      </c>
      <c r="D61" s="180" t="e">
        <f t="shared" si="62"/>
        <v>#REF!</v>
      </c>
      <c r="E61" s="125" t="e">
        <f t="shared" si="62"/>
        <v>#REF!</v>
      </c>
      <c r="F61" s="180" t="e">
        <f t="shared" si="62"/>
        <v>#REF!</v>
      </c>
      <c r="G61" s="125" t="e">
        <f t="shared" si="62"/>
        <v>#REF!</v>
      </c>
      <c r="H61" s="180" t="e">
        <f t="shared" si="62"/>
        <v>#REF!</v>
      </c>
      <c r="J61" s="126" t="s">
        <v>148</v>
      </c>
      <c r="K61" s="125" t="e">
        <f>K60-K57</f>
        <v>#REF!</v>
      </c>
      <c r="L61" s="180" t="e">
        <f t="shared" ref="L61" si="63">L60-L57</f>
        <v>#REF!</v>
      </c>
      <c r="M61" s="125" t="e">
        <f>M60-M57</f>
        <v>#REF!</v>
      </c>
      <c r="N61" s="180" t="e">
        <f t="shared" ref="N61" si="64">N60-N57</f>
        <v>#REF!</v>
      </c>
      <c r="O61" s="125" t="e">
        <f>O60-O57</f>
        <v>#REF!</v>
      </c>
      <c r="P61" s="180" t="e">
        <f>P60-P57</f>
        <v>#REF!</v>
      </c>
      <c r="R61" s="126" t="s">
        <v>148</v>
      </c>
      <c r="S61" s="125" t="e">
        <f>S60-S57</f>
        <v>#REF!</v>
      </c>
      <c r="T61" s="180" t="e">
        <f t="shared" ref="T61" si="65">T60-T57</f>
        <v>#REF!</v>
      </c>
      <c r="U61" s="125" t="e">
        <f>U60-U57</f>
        <v>#REF!</v>
      </c>
      <c r="V61" s="180" t="e">
        <f t="shared" ref="V61:X61" si="66">V60-V57</f>
        <v>#REF!</v>
      </c>
      <c r="W61" s="125" t="e">
        <f>W60-W57</f>
        <v>#REF!</v>
      </c>
      <c r="X61" s="180" t="e">
        <f t="shared" si="66"/>
        <v>#REF!</v>
      </c>
    </row>
    <row r="62" spans="2:24" ht="15" customHeight="1" x14ac:dyDescent="0.25">
      <c r="B62" s="189"/>
      <c r="C62" s="188"/>
      <c r="D62" s="188"/>
      <c r="E62" s="188"/>
      <c r="F62" s="188"/>
      <c r="G62" s="188"/>
      <c r="H62" s="188"/>
      <c r="J62" s="190"/>
      <c r="K62" s="191"/>
      <c r="L62" s="191"/>
      <c r="M62" s="191"/>
      <c r="N62" s="191"/>
      <c r="O62" s="191"/>
      <c r="P62" s="191"/>
      <c r="R62" s="122"/>
      <c r="S62" s="192"/>
      <c r="T62" s="192"/>
      <c r="U62" s="192"/>
      <c r="V62" s="192"/>
      <c r="W62" s="192"/>
      <c r="X62" s="192"/>
    </row>
    <row r="63" spans="2:24" ht="15" customHeight="1" x14ac:dyDescent="0.25">
      <c r="B63" s="111" t="s">
        <v>62</v>
      </c>
      <c r="C63" s="177">
        <v>2020</v>
      </c>
      <c r="D63" s="177" t="s">
        <v>11</v>
      </c>
      <c r="E63" s="177">
        <v>2021</v>
      </c>
      <c r="F63" s="177" t="s">
        <v>11</v>
      </c>
      <c r="G63" s="177" t="s">
        <v>275</v>
      </c>
      <c r="H63" s="177" t="s">
        <v>11</v>
      </c>
      <c r="J63" s="111" t="s">
        <v>63</v>
      </c>
      <c r="K63" s="181">
        <v>2020</v>
      </c>
      <c r="L63" s="181" t="s">
        <v>11</v>
      </c>
      <c r="M63" s="181">
        <v>2021</v>
      </c>
      <c r="N63" s="181" t="s">
        <v>11</v>
      </c>
      <c r="O63" s="181" t="s">
        <v>275</v>
      </c>
      <c r="P63" s="181" t="s">
        <v>11</v>
      </c>
      <c r="R63" s="111" t="s">
        <v>7</v>
      </c>
      <c r="S63" s="182">
        <v>2020</v>
      </c>
      <c r="T63" s="182" t="s">
        <v>11</v>
      </c>
      <c r="U63" s="182">
        <v>2021</v>
      </c>
      <c r="V63" s="182" t="s">
        <v>11</v>
      </c>
      <c r="W63" s="182" t="s">
        <v>275</v>
      </c>
      <c r="X63" s="182" t="s">
        <v>11</v>
      </c>
    </row>
    <row r="64" spans="2:24" ht="15" customHeight="1" x14ac:dyDescent="0.25">
      <c r="B64" s="178" t="s">
        <v>280</v>
      </c>
      <c r="C64" s="116" t="e">
        <f>C55</f>
        <v>#REF!</v>
      </c>
      <c r="D64" s="179" t="e">
        <f>IF(C28=0,0,C64/C28)</f>
        <v>#REF!</v>
      </c>
      <c r="E64" s="116" t="e">
        <f>E55</f>
        <v>#REF!</v>
      </c>
      <c r="F64" s="179" t="e">
        <f>IF(E28=0,0,E64/E28)</f>
        <v>#REF!</v>
      </c>
      <c r="G64" s="116" t="e">
        <f>(C64+E64)/2</f>
        <v>#REF!</v>
      </c>
      <c r="H64" s="179" t="e">
        <f>IF(G28=0,0,G64/G28)</f>
        <v>#REF!</v>
      </c>
      <c r="J64" s="178" t="s">
        <v>280</v>
      </c>
      <c r="K64" s="116" t="e">
        <f>K55</f>
        <v>#REF!</v>
      </c>
      <c r="L64" s="179" t="e">
        <f>IF(K28=0,0,K64/K28)</f>
        <v>#REF!</v>
      </c>
      <c r="M64" s="116" t="e">
        <f>M55</f>
        <v>#REF!</v>
      </c>
      <c r="N64" s="179" t="e">
        <f>IF(M28=0,0,M64/M28)</f>
        <v>#REF!</v>
      </c>
      <c r="O64" s="116" t="e">
        <f>(K64+M64)/2</f>
        <v>#REF!</v>
      </c>
      <c r="P64" s="179" t="e">
        <f>IF(O28=0,0,O64/O28)</f>
        <v>#REF!</v>
      </c>
      <c r="R64" s="178" t="s">
        <v>280</v>
      </c>
      <c r="S64" s="116" t="e">
        <f>C64+K64</f>
        <v>#REF!</v>
      </c>
      <c r="T64" s="179" t="e">
        <f>IF(S28=0,0,S64/S28)</f>
        <v>#REF!</v>
      </c>
      <c r="U64" s="116" t="e">
        <f>E64+M64</f>
        <v>#REF!</v>
      </c>
      <c r="V64" s="179" t="e">
        <f>IF(U28=0,0,U64/U28)</f>
        <v>#REF!</v>
      </c>
      <c r="W64" s="116" t="e">
        <f>G64+O64</f>
        <v>#REF!</v>
      </c>
      <c r="X64" s="179" t="e">
        <f>IF(W28=0,0,W64/W28)</f>
        <v>#REF!</v>
      </c>
    </row>
    <row r="65" spans="2:24" ht="15" customHeight="1" x14ac:dyDescent="0.25">
      <c r="B65" s="183" t="s">
        <v>83</v>
      </c>
      <c r="C65" s="116" t="e">
        <f>C64*#REF!/#REF!</f>
        <v>#REF!</v>
      </c>
      <c r="D65" s="179" t="e">
        <f>IF(C28=0,0,C65/C28)</f>
        <v>#REF!</v>
      </c>
      <c r="E65" s="116" t="e">
        <f>E64*#REF!</f>
        <v>#REF!</v>
      </c>
      <c r="F65" s="179" t="e">
        <f>IF(E28=0,0,E65/E28)</f>
        <v>#REF!</v>
      </c>
      <c r="G65" s="116" t="e">
        <f>(C65+E65)/2</f>
        <v>#REF!</v>
      </c>
      <c r="H65" s="179" t="e">
        <f>IF(G28=0,0,G65/G28)</f>
        <v>#REF!</v>
      </c>
      <c r="J65" s="183" t="s">
        <v>83</v>
      </c>
      <c r="K65" s="116" t="e">
        <f>K64*#REF!</f>
        <v>#REF!</v>
      </c>
      <c r="L65" s="179" t="e">
        <f>IF(K28=0,0,K65/K28)</f>
        <v>#REF!</v>
      </c>
      <c r="M65" s="116" t="e">
        <f>M64*#REF!</f>
        <v>#REF!</v>
      </c>
      <c r="N65" s="179" t="e">
        <f>IF(M28=0,0,M65/M28)</f>
        <v>#REF!</v>
      </c>
      <c r="O65" s="116" t="e">
        <f>(K65+M65)/2</f>
        <v>#REF!</v>
      </c>
      <c r="P65" s="179" t="e">
        <f>IF(O28=0,0,O65/O28)</f>
        <v>#REF!</v>
      </c>
      <c r="R65" s="183" t="s">
        <v>83</v>
      </c>
      <c r="S65" s="116" t="e">
        <f>C65+K65</f>
        <v>#REF!</v>
      </c>
      <c r="T65" s="179" t="e">
        <f>IF(S28=0,0,S65/S28)</f>
        <v>#REF!</v>
      </c>
      <c r="U65" s="116" t="e">
        <f>E65+M65</f>
        <v>#REF!</v>
      </c>
      <c r="V65" s="179" t="e">
        <f>IF(U28=0,0,U65/U28)</f>
        <v>#REF!</v>
      </c>
      <c r="W65" s="116" t="e">
        <f>G65+O65</f>
        <v>#REF!</v>
      </c>
      <c r="X65" s="179" t="e">
        <f>IF(W28=0,0,W65/W28)</f>
        <v>#REF!</v>
      </c>
    </row>
    <row r="66" spans="2:24" ht="15" customHeight="1" x14ac:dyDescent="0.25">
      <c r="B66" s="130" t="s">
        <v>276</v>
      </c>
      <c r="C66" s="125" t="e">
        <f>C65-C64</f>
        <v>#REF!</v>
      </c>
      <c r="D66" s="180" t="e">
        <f>D65-D64</f>
        <v>#REF!</v>
      </c>
      <c r="E66" s="125" t="e">
        <f t="shared" ref="E66" si="67">E65-E64</f>
        <v>#REF!</v>
      </c>
      <c r="F66" s="180" t="e">
        <f>F65-F64</f>
        <v>#REF!</v>
      </c>
      <c r="G66" s="125" t="e">
        <f>G65-G64</f>
        <v>#REF!</v>
      </c>
      <c r="H66" s="180" t="e">
        <f>H65-H64</f>
        <v>#REF!</v>
      </c>
      <c r="J66" s="130" t="s">
        <v>276</v>
      </c>
      <c r="K66" s="125" t="e">
        <f t="shared" ref="K66:P66" si="68">K65-K64</f>
        <v>#REF!</v>
      </c>
      <c r="L66" s="180" t="e">
        <f t="shared" si="68"/>
        <v>#REF!</v>
      </c>
      <c r="M66" s="125" t="e">
        <f t="shared" si="68"/>
        <v>#REF!</v>
      </c>
      <c r="N66" s="180" t="e">
        <f t="shared" si="68"/>
        <v>#REF!</v>
      </c>
      <c r="O66" s="125" t="e">
        <f t="shared" si="68"/>
        <v>#REF!</v>
      </c>
      <c r="P66" s="180" t="e">
        <f t="shared" si="68"/>
        <v>#REF!</v>
      </c>
      <c r="R66" s="130" t="s">
        <v>276</v>
      </c>
      <c r="S66" s="125" t="e">
        <f t="shared" ref="S66:X66" si="69">S65-S64</f>
        <v>#REF!</v>
      </c>
      <c r="T66" s="180" t="e">
        <f t="shared" si="69"/>
        <v>#REF!</v>
      </c>
      <c r="U66" s="125" t="e">
        <f t="shared" si="69"/>
        <v>#REF!</v>
      </c>
      <c r="V66" s="180" t="e">
        <f t="shared" si="69"/>
        <v>#REF!</v>
      </c>
      <c r="W66" s="125" t="e">
        <f t="shared" si="69"/>
        <v>#REF!</v>
      </c>
      <c r="X66" s="180" t="e">
        <f t="shared" si="69"/>
        <v>#REF!</v>
      </c>
    </row>
    <row r="67" spans="2:24" ht="15" customHeight="1" x14ac:dyDescent="0.25">
      <c r="B67" s="178" t="s">
        <v>281</v>
      </c>
      <c r="C67" s="116">
        <f>C56</f>
        <v>203861</v>
      </c>
      <c r="D67" s="179" t="e">
        <f>IF(C28=0,0,C67/C28)</f>
        <v>#REF!</v>
      </c>
      <c r="E67" s="116">
        <f>E56</f>
        <v>233280</v>
      </c>
      <c r="F67" s="179" t="e">
        <f>IF(E28=0,0,E67/E28)</f>
        <v>#REF!</v>
      </c>
      <c r="G67" s="116">
        <f>(C67+E67)/2</f>
        <v>218570.5</v>
      </c>
      <c r="H67" s="179" t="e">
        <f>IF(G28=0,0,G67/G28)</f>
        <v>#REF!</v>
      </c>
      <c r="J67" s="178" t="s">
        <v>281</v>
      </c>
      <c r="K67" s="116" t="e">
        <f>K56</f>
        <v>#REF!</v>
      </c>
      <c r="L67" s="179" t="e">
        <f>IF(K28=0,0,K67/K28)</f>
        <v>#REF!</v>
      </c>
      <c r="M67" s="116" t="e">
        <f t="shared" ref="M67" si="70">M56</f>
        <v>#REF!</v>
      </c>
      <c r="N67" s="179" t="e">
        <f>IF(M28=0,0,M67/M28)</f>
        <v>#REF!</v>
      </c>
      <c r="O67" s="116" t="e">
        <f>(K67+M67)/2</f>
        <v>#REF!</v>
      </c>
      <c r="P67" s="179" t="e">
        <f>IF(O28=0,0,O67/O28)</f>
        <v>#REF!</v>
      </c>
      <c r="R67" s="178" t="s">
        <v>281</v>
      </c>
      <c r="S67" s="116" t="e">
        <f>C67+K67</f>
        <v>#REF!</v>
      </c>
      <c r="T67" s="179" t="e">
        <f>IF(S28=0,0,S67/S28)</f>
        <v>#REF!</v>
      </c>
      <c r="U67" s="116" t="e">
        <f>E67+M67</f>
        <v>#REF!</v>
      </c>
      <c r="V67" s="179" t="e">
        <f>IF(U28=0,0,U67/U28)</f>
        <v>#REF!</v>
      </c>
      <c r="W67" s="116" t="e">
        <f>G67+O67</f>
        <v>#REF!</v>
      </c>
      <c r="X67" s="179" t="e">
        <f>IF(W28=0,0,W67/W28)</f>
        <v>#REF!</v>
      </c>
    </row>
    <row r="68" spans="2:24" ht="15" customHeight="1" x14ac:dyDescent="0.25">
      <c r="B68" s="183" t="s">
        <v>83</v>
      </c>
      <c r="C68" s="116" t="e">
        <f>C67*#REF!/#REF!</f>
        <v>#REF!</v>
      </c>
      <c r="D68" s="179" t="e">
        <f>IF(C28=0,0,C68/C28)</f>
        <v>#REF!</v>
      </c>
      <c r="E68" s="116" t="e">
        <f>E67*#REF!</f>
        <v>#REF!</v>
      </c>
      <c r="F68" s="179" t="e">
        <f>IF(E28=0,0,E68/E28)</f>
        <v>#REF!</v>
      </c>
      <c r="G68" s="116" t="e">
        <f>(C68+E68)/2</f>
        <v>#REF!</v>
      </c>
      <c r="H68" s="179" t="e">
        <f>IF(G28=0,0,G68/G28)</f>
        <v>#REF!</v>
      </c>
      <c r="J68" s="183" t="s">
        <v>83</v>
      </c>
      <c r="K68" s="116" t="e">
        <f>K67*#REF!</f>
        <v>#REF!</v>
      </c>
      <c r="L68" s="179" t="e">
        <f>IF(K28=0,0,K68/K28)</f>
        <v>#REF!</v>
      </c>
      <c r="M68" s="116" t="e">
        <f>M67*#REF!</f>
        <v>#REF!</v>
      </c>
      <c r="N68" s="179" t="e">
        <f>IF(M28=0,0,M68/M28)</f>
        <v>#REF!</v>
      </c>
      <c r="O68" s="116" t="e">
        <f>(K68+M68)/2</f>
        <v>#REF!</v>
      </c>
      <c r="P68" s="179" t="e">
        <f>IF(O28=0,0,O68/O28)</f>
        <v>#REF!</v>
      </c>
      <c r="R68" s="183" t="s">
        <v>83</v>
      </c>
      <c r="S68" s="116" t="e">
        <f>C68+K68</f>
        <v>#REF!</v>
      </c>
      <c r="T68" s="179" t="e">
        <f>IF(S28=0,0,S68/S28)</f>
        <v>#REF!</v>
      </c>
      <c r="U68" s="116" t="e">
        <f>E68+M68</f>
        <v>#REF!</v>
      </c>
      <c r="V68" s="179" t="e">
        <f>IF(U28=0,0,U68/U28)</f>
        <v>#REF!</v>
      </c>
      <c r="W68" s="116" t="e">
        <f>G68+O68</f>
        <v>#REF!</v>
      </c>
      <c r="X68" s="179" t="e">
        <f>IF(W28=0,0,W68/W28)</f>
        <v>#REF!</v>
      </c>
    </row>
    <row r="69" spans="2:24" ht="15" customHeight="1" x14ac:dyDescent="0.25">
      <c r="B69" s="184" t="s">
        <v>279</v>
      </c>
      <c r="C69" s="124">
        <f>C67</f>
        <v>203861</v>
      </c>
      <c r="D69" s="179" t="e">
        <f>IF(C28=0,0,C69/C28)</f>
        <v>#REF!</v>
      </c>
      <c r="E69" s="124">
        <f>E67</f>
        <v>233280</v>
      </c>
      <c r="F69" s="179" t="e">
        <f>IF(E28=0,0,E69/E28)</f>
        <v>#REF!</v>
      </c>
      <c r="G69" s="116">
        <f>(C69+E69)/2</f>
        <v>218570.5</v>
      </c>
      <c r="H69" s="179" t="e">
        <f>IF(G28=0,0,G69/G28)</f>
        <v>#REF!</v>
      </c>
      <c r="J69" s="184" t="s">
        <v>279</v>
      </c>
      <c r="K69" s="124" t="e">
        <f>K67</f>
        <v>#REF!</v>
      </c>
      <c r="L69" s="179" t="e">
        <f>IF(K28=0,0,K69/K28)</f>
        <v>#REF!</v>
      </c>
      <c r="M69" s="124" t="e">
        <f>M67</f>
        <v>#REF!</v>
      </c>
      <c r="N69" s="179" t="e">
        <f>IF(M28=0,0,M69/M28)</f>
        <v>#REF!</v>
      </c>
      <c r="O69" s="116" t="e">
        <f>(K69+M69)/2</f>
        <v>#REF!</v>
      </c>
      <c r="P69" s="179" t="e">
        <f>IF(O28=0,0,O69/O28)</f>
        <v>#REF!</v>
      </c>
      <c r="R69" s="184" t="s">
        <v>279</v>
      </c>
      <c r="S69" s="116" t="e">
        <f>C69+K69</f>
        <v>#REF!</v>
      </c>
      <c r="T69" s="179" t="e">
        <f>IF(S28=0,0,S69/S28)</f>
        <v>#REF!</v>
      </c>
      <c r="U69" s="116" t="e">
        <f>E69+M69</f>
        <v>#REF!</v>
      </c>
      <c r="V69" s="179" t="e">
        <f>IF(U28=0,0,U69/U28)</f>
        <v>#REF!</v>
      </c>
      <c r="W69" s="116" t="e">
        <f>G69+O69</f>
        <v>#REF!</v>
      </c>
      <c r="X69" s="179" t="e">
        <f>IF(W28=0,0,W69/W28)</f>
        <v>#REF!</v>
      </c>
    </row>
    <row r="70" spans="2:24" ht="15" customHeight="1" x14ac:dyDescent="0.25">
      <c r="B70" s="126" t="s">
        <v>277</v>
      </c>
      <c r="C70" s="118" t="e">
        <f>C68+C69-C67</f>
        <v>#REF!</v>
      </c>
      <c r="D70" s="180" t="e">
        <f>D68+D69-D67</f>
        <v>#REF!</v>
      </c>
      <c r="E70" s="118" t="e">
        <f t="shared" ref="E70" si="71">E68+E69-E67</f>
        <v>#REF!</v>
      </c>
      <c r="F70" s="180" t="e">
        <f>F68+F69-F67</f>
        <v>#REF!</v>
      </c>
      <c r="G70" s="118" t="e">
        <f t="shared" ref="G70" si="72">G68+G69-G67</f>
        <v>#REF!</v>
      </c>
      <c r="H70" s="180" t="e">
        <f>H68+H69-H67</f>
        <v>#REF!</v>
      </c>
      <c r="J70" s="126" t="s">
        <v>277</v>
      </c>
      <c r="K70" s="118" t="e">
        <f>K68+K69-K67</f>
        <v>#REF!</v>
      </c>
      <c r="L70" s="180" t="e">
        <f>L68+L69-L67</f>
        <v>#REF!</v>
      </c>
      <c r="M70" s="118" t="e">
        <f>M68+M69-M67</f>
        <v>#REF!</v>
      </c>
      <c r="N70" s="180" t="e">
        <f>N68+N69-N67</f>
        <v>#REF!</v>
      </c>
      <c r="O70" s="118" t="e">
        <f t="shared" ref="O70" si="73">O68+O69-O67</f>
        <v>#REF!</v>
      </c>
      <c r="P70" s="180" t="e">
        <f>P68+P69-P67</f>
        <v>#REF!</v>
      </c>
      <c r="R70" s="126" t="s">
        <v>277</v>
      </c>
      <c r="S70" s="118" t="e">
        <f t="shared" ref="S70:W70" si="74">S68+S69-S67</f>
        <v>#REF!</v>
      </c>
      <c r="T70" s="180" t="e">
        <f>T68+T69-T67</f>
        <v>#REF!</v>
      </c>
      <c r="U70" s="118" t="e">
        <f t="shared" si="74"/>
        <v>#REF!</v>
      </c>
      <c r="V70" s="180" t="e">
        <f>V68+V69-V67</f>
        <v>#REF!</v>
      </c>
      <c r="W70" s="118" t="e">
        <f t="shared" si="74"/>
        <v>#REF!</v>
      </c>
      <c r="X70" s="180" t="e">
        <f>X68+X69-X67</f>
        <v>#REF!</v>
      </c>
    </row>
    <row r="71" spans="2:24" ht="15" customHeight="1" x14ac:dyDescent="0.25">
      <c r="B71" s="126" t="s">
        <v>148</v>
      </c>
      <c r="C71" s="125" t="e">
        <f>C66+C70</f>
        <v>#REF!</v>
      </c>
      <c r="D71" s="180" t="e">
        <f>D66+D70</f>
        <v>#REF!</v>
      </c>
      <c r="E71" s="125" t="e">
        <f t="shared" ref="E71" si="75">E66+E70</f>
        <v>#REF!</v>
      </c>
      <c r="F71" s="180" t="e">
        <f>F66+F70</f>
        <v>#REF!</v>
      </c>
      <c r="G71" s="125" t="e">
        <f t="shared" ref="G71" si="76">G66+G70</f>
        <v>#REF!</v>
      </c>
      <c r="H71" s="180" t="e">
        <f>H66+H70</f>
        <v>#REF!</v>
      </c>
      <c r="J71" s="126" t="s">
        <v>148</v>
      </c>
      <c r="K71" s="125" t="e">
        <f>K66+K70</f>
        <v>#REF!</v>
      </c>
      <c r="L71" s="180" t="e">
        <f>L66+L70</f>
        <v>#REF!</v>
      </c>
      <c r="M71" s="125" t="e">
        <f>M66+M70</f>
        <v>#REF!</v>
      </c>
      <c r="N71" s="180" t="e">
        <f>N66+N70</f>
        <v>#REF!</v>
      </c>
      <c r="O71" s="125" t="e">
        <f t="shared" ref="O71" si="77">O66+O70</f>
        <v>#REF!</v>
      </c>
      <c r="P71" s="180" t="e">
        <f>P66+P70</f>
        <v>#REF!</v>
      </c>
      <c r="R71" s="126" t="s">
        <v>148</v>
      </c>
      <c r="S71" s="125" t="e">
        <f t="shared" ref="S71:W71" si="78">S66+S70</f>
        <v>#REF!</v>
      </c>
      <c r="T71" s="180" t="e">
        <f>T66+T70</f>
        <v>#REF!</v>
      </c>
      <c r="U71" s="125" t="e">
        <f t="shared" si="78"/>
        <v>#REF!</v>
      </c>
      <c r="V71" s="180" t="e">
        <f>V66+V70</f>
        <v>#REF!</v>
      </c>
      <c r="W71" s="125" t="e">
        <f t="shared" si="78"/>
        <v>#REF!</v>
      </c>
      <c r="X71" s="180" t="e">
        <f>X66+X70</f>
        <v>#REF!</v>
      </c>
    </row>
    <row r="72" spans="2:24" ht="15" customHeight="1" x14ac:dyDescent="0.25">
      <c r="B72" s="189"/>
      <c r="C72" s="188"/>
      <c r="D72" s="188"/>
      <c r="E72" s="188"/>
      <c r="F72" s="188"/>
      <c r="G72" s="188"/>
      <c r="H72" s="188"/>
      <c r="J72" s="190"/>
      <c r="K72" s="191"/>
      <c r="L72" s="191"/>
      <c r="M72" s="191"/>
      <c r="N72" s="191"/>
      <c r="O72" s="191"/>
      <c r="P72" s="191"/>
      <c r="R72" s="122"/>
      <c r="S72" s="192"/>
      <c r="T72" s="192"/>
      <c r="U72" s="192"/>
      <c r="V72" s="192"/>
      <c r="W72" s="192"/>
      <c r="X72" s="192"/>
    </row>
    <row r="73" spans="2:24" ht="15" customHeight="1" x14ac:dyDescent="0.25">
      <c r="B73" s="111" t="s">
        <v>62</v>
      </c>
      <c r="C73" s="177">
        <v>2020</v>
      </c>
      <c r="D73" s="177" t="s">
        <v>11</v>
      </c>
      <c r="E73" s="177">
        <v>2021</v>
      </c>
      <c r="F73" s="177" t="s">
        <v>11</v>
      </c>
      <c r="G73" s="177" t="s">
        <v>275</v>
      </c>
      <c r="H73" s="177"/>
      <c r="J73" s="111" t="s">
        <v>63</v>
      </c>
      <c r="K73" s="181">
        <v>2020</v>
      </c>
      <c r="L73" s="181" t="s">
        <v>11</v>
      </c>
      <c r="M73" s="181">
        <v>2021</v>
      </c>
      <c r="N73" s="181" t="s">
        <v>11</v>
      </c>
      <c r="O73" s="181" t="s">
        <v>275</v>
      </c>
      <c r="P73" s="181" t="s">
        <v>11</v>
      </c>
      <c r="R73" s="111" t="s">
        <v>7</v>
      </c>
      <c r="S73" s="182">
        <v>2020</v>
      </c>
      <c r="T73" s="182" t="s">
        <v>11</v>
      </c>
      <c r="U73" s="182">
        <v>2021</v>
      </c>
      <c r="V73" s="182" t="s">
        <v>11</v>
      </c>
      <c r="W73" s="182" t="s">
        <v>275</v>
      </c>
      <c r="X73" s="182" t="s">
        <v>11</v>
      </c>
    </row>
    <row r="74" spans="2:24" ht="15" customHeight="1" x14ac:dyDescent="0.25">
      <c r="B74" s="140" t="s">
        <v>283</v>
      </c>
      <c r="C74" s="186" t="e">
        <f>C56-C36</f>
        <v>#REF!</v>
      </c>
      <c r="D74" s="179" t="e">
        <f>IF(C20=0,0,C74/C20)</f>
        <v>#REF!</v>
      </c>
      <c r="E74" s="186" t="e">
        <f>E56-E36</f>
        <v>#REF!</v>
      </c>
      <c r="F74" s="179" t="e">
        <f>IF(E20=0,0,E74/E20)</f>
        <v>#REF!</v>
      </c>
      <c r="G74" s="116" t="e">
        <f>(C74+E74)/2</f>
        <v>#REF!</v>
      </c>
      <c r="H74" s="179" t="e">
        <f>IF(G20=0,0,G74/G20)</f>
        <v>#REF!</v>
      </c>
      <c r="J74" s="140" t="s">
        <v>283</v>
      </c>
      <c r="K74" s="186" t="e">
        <f>K56-K36</f>
        <v>#REF!</v>
      </c>
      <c r="L74" s="179" t="e">
        <f>IF(K20=0,0,K74/K20)</f>
        <v>#REF!</v>
      </c>
      <c r="M74" s="186" t="e">
        <f>M56-M36</f>
        <v>#REF!</v>
      </c>
      <c r="N74" s="179" t="e">
        <f>IF(M20=0,0,M74/M20)</f>
        <v>#REF!</v>
      </c>
      <c r="O74" s="116" t="e">
        <f>(K74+M74)/2</f>
        <v>#REF!</v>
      </c>
      <c r="P74" s="179" t="e">
        <f>IF(O20=0,0,O74/O20)</f>
        <v>#REF!</v>
      </c>
      <c r="R74" s="140" t="s">
        <v>283</v>
      </c>
      <c r="S74" s="116" t="e">
        <f>C74+K74</f>
        <v>#REF!</v>
      </c>
      <c r="T74" s="179" t="e">
        <f>IF(S20=0,0,S74/S20)</f>
        <v>#REF!</v>
      </c>
      <c r="U74" s="116" t="e">
        <f>E74+M74</f>
        <v>#REF!</v>
      </c>
      <c r="V74" s="179" t="e">
        <f>IF(U20=0,0,U74/U20)</f>
        <v>#REF!</v>
      </c>
      <c r="W74" s="116" t="e">
        <f>G74+O74</f>
        <v>#REF!</v>
      </c>
      <c r="X74" s="179" t="e">
        <f>IF(W20=0,0,W74/W20)</f>
        <v>#REF!</v>
      </c>
    </row>
    <row r="75" spans="2:24" ht="15" customHeight="1" x14ac:dyDescent="0.25">
      <c r="B75" s="184" t="s">
        <v>284</v>
      </c>
      <c r="C75" s="186" t="e">
        <f>C58-C38</f>
        <v>#REF!</v>
      </c>
      <c r="D75" s="179" t="e">
        <f>IF(C20=0,0,C75/C20)</f>
        <v>#REF!</v>
      </c>
      <c r="E75" s="186" t="e">
        <f>E58-E38</f>
        <v>#REF!</v>
      </c>
      <c r="F75" s="179" t="e">
        <f>IF(E20=0,0,E75/E20)</f>
        <v>#REF!</v>
      </c>
      <c r="G75" s="116" t="e">
        <f t="shared" ref="G75" si="79">(C75+E75)/2</f>
        <v>#REF!</v>
      </c>
      <c r="H75" s="179" t="e">
        <f>IF(G20=0,0,G75/G20)</f>
        <v>#REF!</v>
      </c>
      <c r="J75" s="184" t="s">
        <v>284</v>
      </c>
      <c r="K75" s="186" t="e">
        <f>K58-K38</f>
        <v>#REF!</v>
      </c>
      <c r="L75" s="179" t="e">
        <f>IF(K20=0,0,K75/K20)</f>
        <v>#REF!</v>
      </c>
      <c r="M75" s="186" t="e">
        <f>M58-M38</f>
        <v>#REF!</v>
      </c>
      <c r="N75" s="179" t="e">
        <f>IF(M20=0,0,M75/M20)</f>
        <v>#REF!</v>
      </c>
      <c r="O75" s="116" t="e">
        <f t="shared" ref="O75" si="80">(K75+M75)/2</f>
        <v>#REF!</v>
      </c>
      <c r="P75" s="179" t="e">
        <f>IF(O20=0,0,O75/O20)</f>
        <v>#REF!</v>
      </c>
      <c r="R75" s="184" t="s">
        <v>284</v>
      </c>
      <c r="S75" s="116" t="e">
        <f>C75+K75</f>
        <v>#REF!</v>
      </c>
      <c r="T75" s="179" t="e">
        <f>IF(S20=0,0,S75/S20)</f>
        <v>#REF!</v>
      </c>
      <c r="U75" s="116" t="e">
        <f>E75+M75</f>
        <v>#REF!</v>
      </c>
      <c r="V75" s="179" t="e">
        <f>IF(U20=0,0,U75/U20)</f>
        <v>#REF!</v>
      </c>
      <c r="W75" s="116" t="e">
        <f>G75+O75</f>
        <v>#REF!</v>
      </c>
      <c r="X75" s="179" t="e">
        <f>IF(W20=0,0,W75/W20)</f>
        <v>#REF!</v>
      </c>
    </row>
    <row r="76" spans="2:24" ht="15" customHeight="1" x14ac:dyDescent="0.25">
      <c r="B76" s="130" t="s">
        <v>285</v>
      </c>
      <c r="C76" s="118" t="e">
        <f>C61-C41</f>
        <v>#REF!</v>
      </c>
      <c r="D76" s="180" t="e">
        <f>IF(C20=0,0,C76/C20)</f>
        <v>#REF!</v>
      </c>
      <c r="E76" s="118" t="e">
        <f>E61-E41</f>
        <v>#REF!</v>
      </c>
      <c r="F76" s="180" t="e">
        <f>IF(E20=0,0,E76/E20)</f>
        <v>#REF!</v>
      </c>
      <c r="G76" s="118" t="e">
        <f>G61-G41</f>
        <v>#REF!</v>
      </c>
      <c r="H76" s="180" t="e">
        <f>IF(G20=0,0,G76/G20)</f>
        <v>#REF!</v>
      </c>
      <c r="J76" s="130" t="s">
        <v>285</v>
      </c>
      <c r="K76" s="118" t="e">
        <f>K61-K41</f>
        <v>#REF!</v>
      </c>
      <c r="L76" s="180" t="e">
        <f>IF(K20=0,0,K76/K20)</f>
        <v>#REF!</v>
      </c>
      <c r="M76" s="118" t="e">
        <f>M61-M41</f>
        <v>#REF!</v>
      </c>
      <c r="N76" s="180" t="e">
        <f>IF(M20=0,0,M76/M20)</f>
        <v>#REF!</v>
      </c>
      <c r="O76" s="118" t="e">
        <f>O61-O41</f>
        <v>#REF!</v>
      </c>
      <c r="P76" s="180" t="e">
        <f>IF(O20=0,0,O76/O20)</f>
        <v>#REF!</v>
      </c>
      <c r="R76" s="130" t="s">
        <v>285</v>
      </c>
      <c r="S76" s="118" t="e">
        <f>S61-S41</f>
        <v>#REF!</v>
      </c>
      <c r="T76" s="180" t="e">
        <f>IF(S20=0,0,S76/S20)</f>
        <v>#REF!</v>
      </c>
      <c r="U76" s="118" t="e">
        <f>U61-U41</f>
        <v>#REF!</v>
      </c>
      <c r="V76" s="180" t="e">
        <f>IF(U20=0,0,U76/U20)</f>
        <v>#REF!</v>
      </c>
      <c r="W76" s="118" t="e">
        <f>W61-W41</f>
        <v>#REF!</v>
      </c>
      <c r="X76" s="180" t="e">
        <f>IF(W20=0,0,W76/W20)</f>
        <v>#REF!</v>
      </c>
    </row>
    <row r="77" spans="2:24" ht="15" customHeight="1" x14ac:dyDescent="0.25">
      <c r="B77" s="193"/>
      <c r="C77" s="193"/>
      <c r="D77" s="194"/>
      <c r="E77" s="193"/>
      <c r="F77" s="196"/>
      <c r="G77" s="194"/>
      <c r="H77" s="197"/>
      <c r="J77" s="198"/>
      <c r="K77" s="194"/>
      <c r="L77" s="194"/>
      <c r="M77" s="194"/>
      <c r="N77" s="193"/>
      <c r="O77" s="194"/>
      <c r="P77" s="197"/>
      <c r="R77" s="198"/>
      <c r="S77" s="194"/>
      <c r="T77" s="194"/>
      <c r="U77" s="194"/>
      <c r="V77" s="194"/>
      <c r="W77" s="197"/>
      <c r="X77" s="193"/>
    </row>
    <row r="78" spans="2:24" ht="15" customHeight="1" x14ac:dyDescent="0.25">
      <c r="B78" s="121"/>
      <c r="C78" s="121"/>
      <c r="D78" s="195"/>
      <c r="E78" s="121"/>
      <c r="F78" s="199"/>
      <c r="G78" s="195"/>
      <c r="H78" s="200"/>
      <c r="J78" s="201"/>
      <c r="K78" s="195"/>
      <c r="L78" s="195"/>
      <c r="M78" s="195"/>
      <c r="N78" s="121"/>
      <c r="O78" s="195"/>
      <c r="P78" s="200"/>
      <c r="R78" s="201"/>
      <c r="S78" s="195"/>
      <c r="T78" s="195"/>
      <c r="U78" s="195"/>
      <c r="V78" s="195"/>
      <c r="W78" s="200"/>
      <c r="X78" s="121"/>
    </row>
    <row r="79" spans="2:24" ht="15" customHeight="1" x14ac:dyDescent="0.25">
      <c r="B79" s="189" t="s">
        <v>356</v>
      </c>
      <c r="C79" s="188"/>
      <c r="D79" s="188"/>
      <c r="E79" s="188"/>
      <c r="F79" s="188"/>
      <c r="G79" s="188"/>
      <c r="H79" s="188"/>
      <c r="J79" s="190" t="str">
        <f>B79</f>
        <v>budget valorisation</v>
      </c>
      <c r="K79" s="191"/>
      <c r="L79" s="191"/>
      <c r="M79" s="191"/>
      <c r="N79" s="191"/>
      <c r="O79" s="191"/>
      <c r="P79" s="191"/>
      <c r="R79" s="122" t="str">
        <f>B79</f>
        <v>budget valorisation</v>
      </c>
      <c r="S79" s="192"/>
      <c r="T79" s="192"/>
      <c r="U79" s="192"/>
      <c r="V79" s="192"/>
      <c r="W79" s="192"/>
      <c r="X79" s="192"/>
    </row>
    <row r="80" spans="2:24" ht="15" customHeight="1" x14ac:dyDescent="0.25">
      <c r="B80" s="111" t="s">
        <v>62</v>
      </c>
      <c r="C80" s="177">
        <v>2020</v>
      </c>
      <c r="D80" s="177" t="s">
        <v>11</v>
      </c>
      <c r="E80" s="177">
        <v>2021</v>
      </c>
      <c r="F80" s="177" t="s">
        <v>11</v>
      </c>
      <c r="G80" s="177" t="s">
        <v>275</v>
      </c>
      <c r="H80" s="177" t="s">
        <v>11</v>
      </c>
      <c r="J80" s="111" t="s">
        <v>63</v>
      </c>
      <c r="K80" s="181">
        <v>2020</v>
      </c>
      <c r="L80" s="181" t="s">
        <v>11</v>
      </c>
      <c r="M80" s="181">
        <v>2021</v>
      </c>
      <c r="N80" s="181" t="s">
        <v>11</v>
      </c>
      <c r="O80" s="181" t="s">
        <v>275</v>
      </c>
      <c r="P80" s="181" t="s">
        <v>11</v>
      </c>
      <c r="R80" s="111" t="s">
        <v>7</v>
      </c>
      <c r="S80" s="182">
        <v>2020</v>
      </c>
      <c r="T80" s="182" t="s">
        <v>11</v>
      </c>
      <c r="U80" s="182">
        <v>2021</v>
      </c>
      <c r="V80" s="182" t="s">
        <v>11</v>
      </c>
      <c r="W80" s="182" t="s">
        <v>275</v>
      </c>
      <c r="X80" s="182" t="s">
        <v>11</v>
      </c>
    </row>
    <row r="81" spans="2:24" ht="15" customHeight="1" x14ac:dyDescent="0.25">
      <c r="B81" s="178" t="s">
        <v>281</v>
      </c>
      <c r="C81" s="116" t="e">
        <f>#REF!</f>
        <v>#REF!</v>
      </c>
      <c r="D81" s="179" t="e">
        <f>IF(C82=0,0,C81/C82)</f>
        <v>#REF!</v>
      </c>
      <c r="E81" s="116" t="e">
        <f>#REF!</f>
        <v>#REF!</v>
      </c>
      <c r="F81" s="179" t="e">
        <f>IF(E82=0,0,E81/E82)</f>
        <v>#REF!</v>
      </c>
      <c r="G81" s="116" t="e">
        <f>(C81+E81)/2</f>
        <v>#REF!</v>
      </c>
      <c r="H81" s="179" t="e">
        <f>IF(G82=0,0,G81/G82)</f>
        <v>#REF!</v>
      </c>
      <c r="J81" s="178" t="s">
        <v>281</v>
      </c>
      <c r="K81" s="116">
        <v>0</v>
      </c>
      <c r="L81" s="179">
        <f>IF(K82=0,0,K81/K82)</f>
        <v>0</v>
      </c>
      <c r="M81" s="116">
        <v>0</v>
      </c>
      <c r="N81" s="179">
        <f>IF(M82=0,0,M81/M82)</f>
        <v>0</v>
      </c>
      <c r="O81" s="116">
        <f>(K81+M81)/2</f>
        <v>0</v>
      </c>
      <c r="P81" s="179">
        <f>IF(O82=0,0,O81/O82)</f>
        <v>0</v>
      </c>
      <c r="R81" s="178" t="s">
        <v>281</v>
      </c>
      <c r="S81" s="116" t="e">
        <f>C81+K81</f>
        <v>#REF!</v>
      </c>
      <c r="T81" s="179" t="e">
        <f>IF(S82=0,0,S81/S82)</f>
        <v>#REF!</v>
      </c>
      <c r="U81" s="116" t="e">
        <f>E81+M81</f>
        <v>#REF!</v>
      </c>
      <c r="V81" s="179" t="e">
        <f>IF(U82=0,0,U81/U82)</f>
        <v>#REF!</v>
      </c>
      <c r="W81" s="116" t="e">
        <f>G81+O81</f>
        <v>#REF!</v>
      </c>
      <c r="X81" s="179" t="e">
        <f>IF(W82=0,0,W81/W82)</f>
        <v>#REF!</v>
      </c>
    </row>
    <row r="82" spans="2:24" ht="15" customHeight="1" x14ac:dyDescent="0.25">
      <c r="B82" s="130" t="s">
        <v>160</v>
      </c>
      <c r="C82" s="125" t="e">
        <f>SUM(C81:C81)</f>
        <v>#REF!</v>
      </c>
      <c r="D82" s="180" t="e">
        <f>IF(C82=0,0,C82/C82)</f>
        <v>#REF!</v>
      </c>
      <c r="E82" s="125" t="e">
        <f>SUM(E81:E81)</f>
        <v>#REF!</v>
      </c>
      <c r="F82" s="180" t="e">
        <f>IF(E82=0,0,E82/E82)</f>
        <v>#REF!</v>
      </c>
      <c r="G82" s="125" t="e">
        <f>SUM(G81:G81)</f>
        <v>#REF!</v>
      </c>
      <c r="H82" s="180" t="e">
        <f>SUM(H80:H81)</f>
        <v>#REF!</v>
      </c>
      <c r="J82" s="130" t="s">
        <v>160</v>
      </c>
      <c r="K82" s="125">
        <f>SUM(K81:K81)</f>
        <v>0</v>
      </c>
      <c r="L82" s="180">
        <f>IF(K82=0,0,K82/K82)</f>
        <v>0</v>
      </c>
      <c r="M82" s="125">
        <f>SUM(M81:M81)</f>
        <v>0</v>
      </c>
      <c r="N82" s="180">
        <f>IF(M82=0,0,M82/M82)</f>
        <v>0</v>
      </c>
      <c r="O82" s="125">
        <f>SUM(O81:O81)</f>
        <v>0</v>
      </c>
      <c r="P82" s="180">
        <f>IF(O82=0,0,O82/O82)</f>
        <v>0</v>
      </c>
      <c r="R82" s="130" t="s">
        <v>160</v>
      </c>
      <c r="S82" s="125" t="e">
        <f>SUM(S81:S81)</f>
        <v>#REF!</v>
      </c>
      <c r="T82" s="180" t="e">
        <f>IF(S82=0,0,S82/S82)</f>
        <v>#REF!</v>
      </c>
      <c r="U82" s="125" t="e">
        <f>SUM(U81:U81)</f>
        <v>#REF!</v>
      </c>
      <c r="V82" s="180" t="e">
        <f>IF(U82=0,0,U82/U82)</f>
        <v>#REF!</v>
      </c>
      <c r="W82" s="125" t="e">
        <f>SUM(W81:W81)</f>
        <v>#REF!</v>
      </c>
      <c r="X82" s="180" t="e">
        <f>IF(W82=0,0,W82/W82)</f>
        <v>#REF!</v>
      </c>
    </row>
    <row r="83" spans="2:24" ht="15" customHeight="1" x14ac:dyDescent="0.25">
      <c r="B83" s="183" t="s">
        <v>83</v>
      </c>
      <c r="C83" s="116" t="e">
        <f>C82*#REF!/#REF!</f>
        <v>#REF!</v>
      </c>
      <c r="D83" s="179" t="e">
        <f>IF(C82=0,0,C83/C82)</f>
        <v>#REF!</v>
      </c>
      <c r="E83" s="116" t="e">
        <f>E82*#REF!</f>
        <v>#REF!</v>
      </c>
      <c r="F83" s="179" t="e">
        <f>IF(E82=0,0,E83/E82)</f>
        <v>#REF!</v>
      </c>
      <c r="G83" s="116" t="e">
        <f t="shared" ref="G83:G84" si="81">(C83+E83)/2</f>
        <v>#REF!</v>
      </c>
      <c r="H83" s="179" t="e">
        <f>IF(G82=0,0,G83/G82)</f>
        <v>#REF!</v>
      </c>
      <c r="J83" s="183" t="s">
        <v>83</v>
      </c>
      <c r="K83" s="116" t="e">
        <f>K82*#REF!</f>
        <v>#REF!</v>
      </c>
      <c r="L83" s="179">
        <f>IF(K82=0,0,K83/K82)</f>
        <v>0</v>
      </c>
      <c r="M83" s="116" t="e">
        <f>M82*#REF!</f>
        <v>#REF!</v>
      </c>
      <c r="N83" s="179">
        <f>IF(M82=0,0,M83/M82)</f>
        <v>0</v>
      </c>
      <c r="O83" s="116" t="e">
        <f>(K83+M83)/2</f>
        <v>#REF!</v>
      </c>
      <c r="P83" s="179">
        <f>IF(O82=0,0,O83/O82)</f>
        <v>0</v>
      </c>
      <c r="R83" s="183" t="s">
        <v>83</v>
      </c>
      <c r="S83" s="116" t="e">
        <f>C83+K83</f>
        <v>#REF!</v>
      </c>
      <c r="T83" s="179" t="e">
        <f>IF(S82=0,0,S83/S82)</f>
        <v>#REF!</v>
      </c>
      <c r="U83" s="116" t="e">
        <f>E83+M83</f>
        <v>#REF!</v>
      </c>
      <c r="V83" s="179" t="e">
        <f>IF(U82=0,0,U83/U82)</f>
        <v>#REF!</v>
      </c>
      <c r="W83" s="116" t="e">
        <f>G83+O83</f>
        <v>#REF!</v>
      </c>
      <c r="X83" s="179" t="e">
        <f>IF(W82=0,0,W83/W82)</f>
        <v>#REF!</v>
      </c>
    </row>
    <row r="84" spans="2:24" ht="15" customHeight="1" x14ac:dyDescent="0.25">
      <c r="B84" s="184" t="s">
        <v>279</v>
      </c>
      <c r="C84" s="124" t="e">
        <f>C81</f>
        <v>#REF!</v>
      </c>
      <c r="D84" s="179" t="e">
        <f>IF(C82=0,0,C84/C82)</f>
        <v>#REF!</v>
      </c>
      <c r="E84" s="124" t="e">
        <f t="shared" ref="E84" si="82">E81</f>
        <v>#REF!</v>
      </c>
      <c r="F84" s="179" t="e">
        <f>IF(E82=0,0,E84/E82)</f>
        <v>#REF!</v>
      </c>
      <c r="G84" s="116" t="e">
        <f t="shared" si="81"/>
        <v>#REF!</v>
      </c>
      <c r="H84" s="179" t="e">
        <f>IF(G82=0,0,G84/G82)</f>
        <v>#REF!</v>
      </c>
      <c r="J84" s="184" t="s">
        <v>279</v>
      </c>
      <c r="K84" s="124">
        <f>K81</f>
        <v>0</v>
      </c>
      <c r="L84" s="179">
        <f>IF(K82=0,0,K84/K82)</f>
        <v>0</v>
      </c>
      <c r="M84" s="124">
        <f>M81</f>
        <v>0</v>
      </c>
      <c r="N84" s="179">
        <f>IF(M82=0,0,M84/M82)</f>
        <v>0</v>
      </c>
      <c r="O84" s="116">
        <f>(K84+M84)/2</f>
        <v>0</v>
      </c>
      <c r="P84" s="179">
        <f>IF(O82=0,0,O84/O82)</f>
        <v>0</v>
      </c>
      <c r="R84" s="184" t="s">
        <v>279</v>
      </c>
      <c r="S84" s="116" t="e">
        <f>C84+K84</f>
        <v>#REF!</v>
      </c>
      <c r="T84" s="179" t="e">
        <f>IF(S82=0,0,S84/S82)</f>
        <v>#REF!</v>
      </c>
      <c r="U84" s="116" t="e">
        <f>E84+M84</f>
        <v>#REF!</v>
      </c>
      <c r="V84" s="179" t="e">
        <f>IF(U82=0,0,U84/U82)</f>
        <v>#REF!</v>
      </c>
      <c r="W84" s="116" t="e">
        <f>G84+O84</f>
        <v>#REF!</v>
      </c>
      <c r="X84" s="179" t="e">
        <f>IF(W82=0,0,W84/W82)</f>
        <v>#REF!</v>
      </c>
    </row>
    <row r="85" spans="2:24" ht="15" customHeight="1" x14ac:dyDescent="0.25">
      <c r="B85" s="126" t="s">
        <v>78</v>
      </c>
      <c r="C85" s="118" t="e">
        <f>SUM(C83:C84)</f>
        <v>#REF!</v>
      </c>
      <c r="D85" s="180" t="e">
        <f>IF(C82=0,0,C85/C82)</f>
        <v>#REF!</v>
      </c>
      <c r="E85" s="118" t="e">
        <f>SUM(E83:E84)</f>
        <v>#REF!</v>
      </c>
      <c r="F85" s="180" t="e">
        <f>IF(E82=0,0,E85/E82)</f>
        <v>#REF!</v>
      </c>
      <c r="G85" s="118" t="e">
        <f t="shared" ref="G85" si="83">SUM(G83:G84)</f>
        <v>#REF!</v>
      </c>
      <c r="H85" s="180" t="e">
        <f>SUM(H83:H84)</f>
        <v>#REF!</v>
      </c>
      <c r="J85" s="126" t="s">
        <v>78</v>
      </c>
      <c r="K85" s="118" t="e">
        <f>SUM(K83:K84)</f>
        <v>#REF!</v>
      </c>
      <c r="L85" s="180">
        <f>IF(K82=0,0,K85/K82)</f>
        <v>0</v>
      </c>
      <c r="M85" s="118" t="e">
        <f>SUM(M83:M84)</f>
        <v>#REF!</v>
      </c>
      <c r="N85" s="180">
        <f>IF(M82=0,0,M85/M82)</f>
        <v>0</v>
      </c>
      <c r="O85" s="118" t="e">
        <f t="shared" ref="O85" si="84">SUM(O83:O84)</f>
        <v>#REF!</v>
      </c>
      <c r="P85" s="180">
        <f>IF(O82=0,0,O85/O82)</f>
        <v>0</v>
      </c>
      <c r="R85" s="126" t="s">
        <v>78</v>
      </c>
      <c r="S85" s="125" t="e">
        <f t="shared" ref="S85:W85" si="85">SUM(S83:S84)</f>
        <v>#REF!</v>
      </c>
      <c r="T85" s="180" t="e">
        <f>IF(S82=0,0,S85/S82)</f>
        <v>#REF!</v>
      </c>
      <c r="U85" s="125" t="e">
        <f t="shared" si="85"/>
        <v>#REF!</v>
      </c>
      <c r="V85" s="180" t="e">
        <f>IF(U82=0,0,U85/U82)</f>
        <v>#REF!</v>
      </c>
      <c r="W85" s="125" t="e">
        <f t="shared" si="85"/>
        <v>#REF!</v>
      </c>
      <c r="X85" s="180" t="e">
        <f>IF(W82=0,0,W85/W82)</f>
        <v>#REF!</v>
      </c>
    </row>
    <row r="86" spans="2:24" ht="15" customHeight="1" x14ac:dyDescent="0.25">
      <c r="B86" s="126" t="s">
        <v>148</v>
      </c>
      <c r="C86" s="125" t="e">
        <f>C85-C82</f>
        <v>#REF!</v>
      </c>
      <c r="D86" s="180" t="e">
        <f>IF(C82=0,0,C86/C82)</f>
        <v>#REF!</v>
      </c>
      <c r="E86" s="125" t="e">
        <f>E85-E82</f>
        <v>#REF!</v>
      </c>
      <c r="F86" s="180" t="e">
        <f>IF(E82=0,0,E86/E82)</f>
        <v>#REF!</v>
      </c>
      <c r="G86" s="125" t="e">
        <f>G85-G82</f>
        <v>#REF!</v>
      </c>
      <c r="H86" s="180" t="e">
        <f>IF(G82=0,0,G86/G82)</f>
        <v>#REF!</v>
      </c>
      <c r="J86" s="126" t="s">
        <v>148</v>
      </c>
      <c r="K86" s="125" t="e">
        <f>K85-K82</f>
        <v>#REF!</v>
      </c>
      <c r="L86" s="180">
        <f>IF(K82=0,0,K86/K82)</f>
        <v>0</v>
      </c>
      <c r="M86" s="125" t="e">
        <f>M85-M82</f>
        <v>#REF!</v>
      </c>
      <c r="N86" s="180">
        <f>IF(M82=0,0,M86/M82)</f>
        <v>0</v>
      </c>
      <c r="O86" s="125" t="e">
        <f>O85-O82</f>
        <v>#REF!</v>
      </c>
      <c r="P86" s="180">
        <f>IF(O82=0,0,O86/O82)</f>
        <v>0</v>
      </c>
      <c r="R86" s="126" t="s">
        <v>148</v>
      </c>
      <c r="S86" s="125" t="e">
        <f>S85-S82</f>
        <v>#REF!</v>
      </c>
      <c r="T86" s="180" t="e">
        <f>IF(S82=0,0,S86/S82)</f>
        <v>#REF!</v>
      </c>
      <c r="U86" s="125" t="e">
        <f>U85-U82</f>
        <v>#REF!</v>
      </c>
      <c r="V86" s="180" t="e">
        <f>IF(U82=0,0,U86/U82)</f>
        <v>#REF!</v>
      </c>
      <c r="W86" s="125" t="e">
        <f>W85-W82</f>
        <v>#REF!</v>
      </c>
      <c r="X86" s="180" t="e">
        <f>IF(W82=0,0,W86/W82)</f>
        <v>#REF!</v>
      </c>
    </row>
    <row r="87" spans="2:24" ht="15" customHeight="1" x14ac:dyDescent="0.25">
      <c r="B87" s="193"/>
      <c r="C87" s="193"/>
      <c r="D87" s="194"/>
      <c r="E87" s="193"/>
      <c r="F87" s="193"/>
      <c r="G87" s="193"/>
      <c r="H87" s="193"/>
      <c r="J87" s="193"/>
      <c r="K87" s="193"/>
      <c r="L87" s="193"/>
      <c r="M87" s="193"/>
      <c r="N87" s="193"/>
      <c r="O87" s="193"/>
      <c r="P87" s="193"/>
      <c r="R87" s="193"/>
      <c r="S87" s="193"/>
      <c r="T87" s="193"/>
      <c r="U87" s="193"/>
      <c r="V87" s="193"/>
      <c r="W87" s="193"/>
      <c r="X87" s="193"/>
    </row>
    <row r="88" spans="2:24" ht="15" customHeight="1" x14ac:dyDescent="0.25">
      <c r="B88" s="121"/>
      <c r="C88" s="121"/>
      <c r="D88" s="195"/>
      <c r="E88" s="121"/>
      <c r="F88" s="121"/>
      <c r="G88" s="121"/>
      <c r="H88" s="121"/>
      <c r="J88" s="121"/>
      <c r="K88" s="121"/>
      <c r="L88" s="121"/>
      <c r="M88" s="121"/>
      <c r="N88" s="121"/>
      <c r="O88" s="121"/>
      <c r="P88" s="121"/>
      <c r="R88" s="121"/>
      <c r="S88" s="121"/>
      <c r="T88" s="121"/>
      <c r="U88" s="121"/>
      <c r="V88" s="121"/>
      <c r="W88" s="121"/>
      <c r="X88" s="121"/>
    </row>
    <row r="89" spans="2:24" ht="15" customHeight="1" x14ac:dyDescent="0.25">
      <c r="B89" s="189" t="s">
        <v>278</v>
      </c>
      <c r="C89" s="188"/>
      <c r="D89" s="188"/>
      <c r="E89" s="188"/>
      <c r="F89" s="188"/>
      <c r="G89" s="188"/>
      <c r="H89" s="188"/>
      <c r="J89" s="190" t="str">
        <f>B89</f>
        <v>budget péréquation</v>
      </c>
      <c r="K89" s="191"/>
      <c r="L89" s="191"/>
      <c r="M89" s="191"/>
      <c r="N89" s="191"/>
      <c r="O89" s="191"/>
      <c r="P89" s="191"/>
      <c r="R89" s="122" t="str">
        <f>B89</f>
        <v>budget péréquation</v>
      </c>
      <c r="S89" s="192"/>
      <c r="T89" s="192"/>
      <c r="U89" s="192"/>
      <c r="V89" s="192"/>
      <c r="W89" s="192"/>
      <c r="X89" s="192"/>
    </row>
    <row r="90" spans="2:24" ht="15" customHeight="1" x14ac:dyDescent="0.25">
      <c r="B90" s="111" t="s">
        <v>62</v>
      </c>
      <c r="C90" s="177">
        <v>2020</v>
      </c>
      <c r="D90" s="177" t="s">
        <v>11</v>
      </c>
      <c r="E90" s="177">
        <v>2021</v>
      </c>
      <c r="F90" s="177" t="s">
        <v>11</v>
      </c>
      <c r="G90" s="177" t="s">
        <v>275</v>
      </c>
      <c r="H90" s="177" t="s">
        <v>11</v>
      </c>
      <c r="J90" s="111" t="s">
        <v>63</v>
      </c>
      <c r="K90" s="181">
        <v>2020</v>
      </c>
      <c r="L90" s="181" t="s">
        <v>11</v>
      </c>
      <c r="M90" s="181">
        <v>2021</v>
      </c>
      <c r="N90" s="181" t="s">
        <v>11</v>
      </c>
      <c r="O90" s="181" t="s">
        <v>275</v>
      </c>
      <c r="P90" s="181" t="s">
        <v>11</v>
      </c>
      <c r="R90" s="111" t="s">
        <v>7</v>
      </c>
      <c r="S90" s="182">
        <v>2020</v>
      </c>
      <c r="T90" s="182" t="s">
        <v>11</v>
      </c>
      <c r="U90" s="182">
        <v>2021</v>
      </c>
      <c r="V90" s="182" t="s">
        <v>11</v>
      </c>
      <c r="W90" s="182" t="s">
        <v>275</v>
      </c>
      <c r="X90" s="182" t="s">
        <v>11</v>
      </c>
    </row>
    <row r="91" spans="2:24" ht="15" customHeight="1" x14ac:dyDescent="0.25">
      <c r="B91" s="178" t="s">
        <v>279</v>
      </c>
      <c r="C91" s="116">
        <v>49000</v>
      </c>
      <c r="D91" s="179" t="e">
        <f>IF(C20=0,0,C91/C20)</f>
        <v>#REF!</v>
      </c>
      <c r="E91" s="116">
        <v>50500</v>
      </c>
      <c r="F91" s="179" t="e">
        <f>IF(E20=0,0,E91/E20)</f>
        <v>#REF!</v>
      </c>
      <c r="G91" s="116">
        <f>(C91+E91)/2</f>
        <v>49750</v>
      </c>
      <c r="H91" s="179" t="e">
        <f>IF(G20=0,0,G91/G20)</f>
        <v>#REF!</v>
      </c>
      <c r="J91" s="178" t="s">
        <v>279</v>
      </c>
      <c r="K91" s="116">
        <v>10500</v>
      </c>
      <c r="L91" s="179" t="e">
        <f>IF(K20=0,0,K91/K20)</f>
        <v>#REF!</v>
      </c>
      <c r="M91" s="116">
        <v>12500</v>
      </c>
      <c r="N91" s="179" t="e">
        <f>IF(M20=0,0,M91/M20)</f>
        <v>#REF!</v>
      </c>
      <c r="O91" s="116">
        <f>(K91+M91)/2</f>
        <v>11500</v>
      </c>
      <c r="P91" s="179" t="e">
        <f>IF(O20=0,0,O91/O20)</f>
        <v>#REF!</v>
      </c>
      <c r="R91" s="178" t="s">
        <v>279</v>
      </c>
      <c r="S91" s="116">
        <f>C91+K91</f>
        <v>59500</v>
      </c>
      <c r="T91" s="179" t="e">
        <f>IF(S20=0,0,S91/S20)</f>
        <v>#REF!</v>
      </c>
      <c r="U91" s="116">
        <f>E91+M91</f>
        <v>63000</v>
      </c>
      <c r="V91" s="179" t="e">
        <f>IF(U20=0,0,U91/U20)</f>
        <v>#REF!</v>
      </c>
      <c r="W91" s="116">
        <f>G91+O91</f>
        <v>61250</v>
      </c>
      <c r="X91" s="179" t="e">
        <f>IF(W20=0,0,W91/W20)</f>
        <v>#REF!</v>
      </c>
    </row>
    <row r="92" spans="2:24" ht="15" customHeight="1" x14ac:dyDescent="0.25">
      <c r="B92" s="126" t="s">
        <v>78</v>
      </c>
      <c r="C92" s="125">
        <f>SUM(C91:C91)</f>
        <v>49000</v>
      </c>
      <c r="D92" s="180" t="e">
        <f>SUM(D90:D91)</f>
        <v>#REF!</v>
      </c>
      <c r="E92" s="125">
        <f>SUM(E91:E91)</f>
        <v>50500</v>
      </c>
      <c r="F92" s="180" t="e">
        <f>SUM(F90:F91)</f>
        <v>#REF!</v>
      </c>
      <c r="G92" s="125">
        <f>SUM(G91:G91)</f>
        <v>49750</v>
      </c>
      <c r="H92" s="180" t="e">
        <f>SUM(H90:H91)</f>
        <v>#REF!</v>
      </c>
      <c r="J92" s="126" t="s">
        <v>78</v>
      </c>
      <c r="K92" s="125">
        <f>SUM(K91:K91)</f>
        <v>10500</v>
      </c>
      <c r="L92" s="180" t="e">
        <f>SUM(L90:L91)</f>
        <v>#REF!</v>
      </c>
      <c r="M92" s="125">
        <f>SUM(M91:M91)</f>
        <v>12500</v>
      </c>
      <c r="N92" s="180" t="e">
        <f>SUM(N90:N91)</f>
        <v>#REF!</v>
      </c>
      <c r="O92" s="125">
        <f>SUM(O91:O91)</f>
        <v>11500</v>
      </c>
      <c r="P92" s="180" t="e">
        <f>SUM(P90:P91)</f>
        <v>#REF!</v>
      </c>
      <c r="R92" s="126" t="s">
        <v>78</v>
      </c>
      <c r="S92" s="125">
        <f>SUM(S91:S91)</f>
        <v>59500</v>
      </c>
      <c r="T92" s="180" t="e">
        <f>SUM(T90:T91)</f>
        <v>#REF!</v>
      </c>
      <c r="U92" s="125">
        <f>SUM(U91:U91)</f>
        <v>63000</v>
      </c>
      <c r="V92" s="180" t="e">
        <f>SUM(V90:V91)</f>
        <v>#REF!</v>
      </c>
      <c r="W92" s="125">
        <f>SUM(W91:W91)</f>
        <v>61250</v>
      </c>
      <c r="X92" s="180" t="e">
        <f>SUM(X90:X91)</f>
        <v>#REF!</v>
      </c>
    </row>
    <row r="93" spans="2:24" ht="15" customHeight="1" x14ac:dyDescent="0.25">
      <c r="B93" s="111" t="s">
        <v>274</v>
      </c>
      <c r="C93" s="125">
        <f>C21</f>
        <v>17</v>
      </c>
      <c r="D93" s="112"/>
      <c r="E93" s="125">
        <f>E21</f>
        <v>21</v>
      </c>
      <c r="F93" s="112"/>
      <c r="G93" s="125">
        <f>G21</f>
        <v>19</v>
      </c>
      <c r="H93" s="187"/>
      <c r="J93" s="111" t="s">
        <v>274</v>
      </c>
      <c r="K93" s="125">
        <f>K21</f>
        <v>4</v>
      </c>
      <c r="L93" s="125"/>
      <c r="M93" s="125">
        <f>M21</f>
        <v>4</v>
      </c>
      <c r="N93" s="112"/>
      <c r="O93" s="125">
        <f t="shared" ref="O93" si="86">O21</f>
        <v>4</v>
      </c>
      <c r="P93" s="112"/>
      <c r="R93" s="111" t="s">
        <v>274</v>
      </c>
      <c r="S93" s="125">
        <f>C93+K93</f>
        <v>21</v>
      </c>
      <c r="T93" s="112"/>
      <c r="U93" s="125">
        <f>E93+M93</f>
        <v>25</v>
      </c>
      <c r="V93" s="112"/>
      <c r="W93" s="125">
        <f>G93+O93</f>
        <v>23</v>
      </c>
      <c r="X93" s="112"/>
    </row>
    <row r="94" spans="2:24" ht="15" customHeight="1" x14ac:dyDescent="0.25">
      <c r="B94" s="111" t="s">
        <v>273</v>
      </c>
      <c r="C94" s="125">
        <f>IF(C93=0,0,C92/C93)</f>
        <v>2882.3529411764707</v>
      </c>
      <c r="D94" s="112"/>
      <c r="E94" s="125">
        <f>IF(E93=0,0,E92/E93)</f>
        <v>2404.7619047619046</v>
      </c>
      <c r="F94" s="112"/>
      <c r="G94" s="125">
        <f t="shared" ref="G94" si="87">IF(G93=0,0,G92/G93)</f>
        <v>2618.4210526315787</v>
      </c>
      <c r="H94" s="187"/>
      <c r="J94" s="111" t="s">
        <v>273</v>
      </c>
      <c r="K94" s="125">
        <f>IF(K93=0,0,K92/K93)</f>
        <v>2625</v>
      </c>
      <c r="L94" s="125"/>
      <c r="M94" s="125">
        <f>IF(M93=0,0,M92/M93)</f>
        <v>3125</v>
      </c>
      <c r="N94" s="112"/>
      <c r="O94" s="125">
        <f t="shared" ref="O94" si="88">IF(O93=0,0,O92/O93)</f>
        <v>2875</v>
      </c>
      <c r="P94" s="112"/>
      <c r="R94" s="111" t="s">
        <v>273</v>
      </c>
      <c r="S94" s="125">
        <f>IF(S93=0,0,S92/S93)</f>
        <v>2833.3333333333335</v>
      </c>
      <c r="T94" s="112"/>
      <c r="U94" s="125">
        <f>IF(U93=0,0,U92/U93)</f>
        <v>2520</v>
      </c>
      <c r="V94" s="112"/>
      <c r="W94" s="125">
        <f>IF(W93=0,0,W92/W93)</f>
        <v>2663.0434782608695</v>
      </c>
      <c r="X94" s="112"/>
    </row>
    <row r="95" spans="2:24" ht="15" customHeight="1" x14ac:dyDescent="0.25">
      <c r="H95" s="16"/>
    </row>
    <row r="96" spans="2:24" s="203" customFormat="1" ht="15" customHeight="1" x14ac:dyDescent="0.25">
      <c r="C96" s="26"/>
      <c r="D96" s="208"/>
    </row>
    <row r="97" spans="1:24" s="203" customFormat="1" ht="15" customHeight="1" x14ac:dyDescent="0.25">
      <c r="A97" s="202" t="s">
        <v>372</v>
      </c>
      <c r="B97" s="364" t="s">
        <v>373</v>
      </c>
      <c r="C97" s="364"/>
      <c r="D97" s="364"/>
      <c r="E97" s="364"/>
      <c r="F97" s="364"/>
      <c r="G97" s="364"/>
      <c r="H97" s="364"/>
      <c r="I97" s="364"/>
      <c r="J97" s="364"/>
      <c r="K97" s="364"/>
      <c r="L97" s="364"/>
      <c r="M97" s="364"/>
      <c r="N97" s="364"/>
      <c r="O97" s="364"/>
      <c r="P97" s="364"/>
      <c r="Q97" s="364"/>
      <c r="R97" s="364"/>
      <c r="S97" s="364"/>
      <c r="T97" s="364"/>
      <c r="U97" s="364"/>
      <c r="V97" s="364"/>
      <c r="W97" s="364"/>
      <c r="X97" s="364"/>
    </row>
    <row r="98" spans="1:24" s="203" customFormat="1" ht="15" customHeight="1" x14ac:dyDescent="0.25"/>
    <row r="99" spans="1:24" s="203" customFormat="1" ht="15" customHeight="1" x14ac:dyDescent="0.25">
      <c r="C99" s="7" t="s">
        <v>374</v>
      </c>
      <c r="I99" s="7" t="s">
        <v>375</v>
      </c>
      <c r="M99" s="7"/>
      <c r="N99" s="7" t="s">
        <v>272</v>
      </c>
      <c r="O99" s="26"/>
    </row>
    <row r="100" spans="1:24" s="203" customFormat="1" ht="15" customHeight="1" x14ac:dyDescent="0.25">
      <c r="B100" s="25">
        <v>1</v>
      </c>
      <c r="C100" s="203" t="s">
        <v>164</v>
      </c>
      <c r="I100" s="203" t="s">
        <v>12</v>
      </c>
      <c r="J100" s="203" t="s">
        <v>210</v>
      </c>
      <c r="N100" s="203" t="s">
        <v>263</v>
      </c>
    </row>
    <row r="101" spans="1:24" s="203" customFormat="1" ht="15" customHeight="1" x14ac:dyDescent="0.25">
      <c r="B101" s="25">
        <v>2</v>
      </c>
      <c r="C101" s="203" t="s">
        <v>165</v>
      </c>
      <c r="I101" s="203" t="s">
        <v>162</v>
      </c>
      <c r="J101" s="203" t="s">
        <v>190</v>
      </c>
      <c r="N101" s="203" t="s">
        <v>264</v>
      </c>
    </row>
    <row r="102" spans="1:24" s="203" customFormat="1" ht="15" customHeight="1" x14ac:dyDescent="0.25">
      <c r="B102" s="25">
        <v>3</v>
      </c>
      <c r="C102" s="203" t="s">
        <v>215</v>
      </c>
      <c r="I102" s="203" t="s">
        <v>222</v>
      </c>
      <c r="J102" s="203" t="s">
        <v>225</v>
      </c>
      <c r="N102" s="203" t="s">
        <v>168</v>
      </c>
    </row>
    <row r="103" spans="1:24" s="203" customFormat="1" ht="15" customHeight="1" x14ac:dyDescent="0.25">
      <c r="B103" s="25">
        <v>4</v>
      </c>
      <c r="C103" s="203" t="s">
        <v>208</v>
      </c>
      <c r="I103" s="203" t="s">
        <v>223</v>
      </c>
      <c r="J103" s="203" t="s">
        <v>224</v>
      </c>
      <c r="N103" s="203" t="s">
        <v>169</v>
      </c>
    </row>
    <row r="104" spans="1:24" s="203" customFormat="1" ht="15" customHeight="1" x14ac:dyDescent="0.25">
      <c r="B104" s="25"/>
      <c r="C104" s="209" t="s">
        <v>166</v>
      </c>
      <c r="I104" s="203" t="s">
        <v>193</v>
      </c>
      <c r="J104" s="203" t="s">
        <v>194</v>
      </c>
      <c r="N104" s="203" t="s">
        <v>170</v>
      </c>
    </row>
    <row r="105" spans="1:24" s="203" customFormat="1" ht="15" customHeight="1" x14ac:dyDescent="0.25">
      <c r="C105" s="209" t="s">
        <v>167</v>
      </c>
      <c r="I105" s="203" t="s">
        <v>196</v>
      </c>
      <c r="J105" s="203" t="s">
        <v>195</v>
      </c>
    </row>
    <row r="106" spans="1:24" s="203" customFormat="1" ht="15" customHeight="1" x14ac:dyDescent="0.25">
      <c r="B106" s="25"/>
      <c r="C106" s="209" t="s">
        <v>289</v>
      </c>
      <c r="I106" s="203" t="s">
        <v>206</v>
      </c>
      <c r="J106" s="203" t="s">
        <v>214</v>
      </c>
    </row>
    <row r="107" spans="1:24" s="203" customFormat="1" ht="15" customHeight="1" x14ac:dyDescent="0.25">
      <c r="B107" s="25"/>
      <c r="C107" s="209" t="s">
        <v>209</v>
      </c>
      <c r="I107" s="203" t="s">
        <v>200</v>
      </c>
      <c r="J107" s="203" t="s">
        <v>207</v>
      </c>
    </row>
    <row r="108" spans="1:24" s="203" customFormat="1" ht="15" customHeight="1" x14ac:dyDescent="0.25">
      <c r="B108" s="25">
        <v>5</v>
      </c>
      <c r="C108" s="203" t="s">
        <v>171</v>
      </c>
      <c r="I108" s="203" t="s">
        <v>201</v>
      </c>
      <c r="J108" s="203" t="s">
        <v>202</v>
      </c>
    </row>
    <row r="109" spans="1:24" s="203" customFormat="1" ht="15" customHeight="1" x14ac:dyDescent="0.25">
      <c r="B109" s="25"/>
      <c r="C109" s="209" t="s">
        <v>172</v>
      </c>
      <c r="I109" s="203" t="s">
        <v>238</v>
      </c>
      <c r="J109" s="203" t="s">
        <v>239</v>
      </c>
    </row>
    <row r="110" spans="1:24" s="203" customFormat="1" ht="15" customHeight="1" x14ac:dyDescent="0.25">
      <c r="B110" s="25"/>
      <c r="C110" s="209" t="s">
        <v>173</v>
      </c>
      <c r="I110" s="203" t="s">
        <v>234</v>
      </c>
      <c r="J110" s="203" t="s">
        <v>235</v>
      </c>
    </row>
    <row r="111" spans="1:24" s="203" customFormat="1" ht="15" customHeight="1" x14ac:dyDescent="0.25">
      <c r="B111" s="25"/>
      <c r="C111" s="209" t="s">
        <v>174</v>
      </c>
      <c r="I111" s="203" t="s">
        <v>197</v>
      </c>
      <c r="J111" s="203" t="s">
        <v>198</v>
      </c>
    </row>
    <row r="112" spans="1:24" s="203" customFormat="1" ht="15" customHeight="1" x14ac:dyDescent="0.25">
      <c r="B112" s="25"/>
      <c r="C112" s="209" t="s">
        <v>211</v>
      </c>
      <c r="I112" s="203" t="s">
        <v>247</v>
      </c>
      <c r="J112" s="203" t="s">
        <v>248</v>
      </c>
    </row>
    <row r="113" spans="2:10" s="203" customFormat="1" ht="15" customHeight="1" x14ac:dyDescent="0.25">
      <c r="B113" s="25"/>
      <c r="C113" s="209" t="s">
        <v>212</v>
      </c>
      <c r="I113" s="203" t="s">
        <v>199</v>
      </c>
      <c r="J113" s="203" t="s">
        <v>204</v>
      </c>
    </row>
    <row r="114" spans="2:10" s="203" customFormat="1" ht="15" customHeight="1" x14ac:dyDescent="0.25">
      <c r="B114" s="25">
        <v>6</v>
      </c>
      <c r="C114" s="203" t="s">
        <v>213</v>
      </c>
      <c r="I114" s="203" t="s">
        <v>203</v>
      </c>
      <c r="J114" s="203" t="s">
        <v>205</v>
      </c>
    </row>
    <row r="115" spans="2:10" s="203" customFormat="1" ht="15" customHeight="1" x14ac:dyDescent="0.25">
      <c r="C115" s="209" t="s">
        <v>175</v>
      </c>
      <c r="I115" s="203" t="s">
        <v>9</v>
      </c>
      <c r="J115" s="203" t="s">
        <v>254</v>
      </c>
    </row>
    <row r="116" spans="2:10" s="203" customFormat="1" ht="15" customHeight="1" x14ac:dyDescent="0.25">
      <c r="C116" s="209" t="s">
        <v>189</v>
      </c>
      <c r="I116" s="203" t="s">
        <v>253</v>
      </c>
      <c r="J116" s="203" t="s">
        <v>255</v>
      </c>
    </row>
    <row r="117" spans="2:10" s="203" customFormat="1" ht="15" customHeight="1" x14ac:dyDescent="0.25">
      <c r="C117" s="209" t="s">
        <v>177</v>
      </c>
      <c r="I117" s="203" t="s">
        <v>191</v>
      </c>
      <c r="J117" s="203" t="s">
        <v>192</v>
      </c>
    </row>
    <row r="118" spans="2:10" s="203" customFormat="1" ht="15" customHeight="1" x14ac:dyDescent="0.25">
      <c r="B118" s="25"/>
      <c r="C118" s="209" t="s">
        <v>216</v>
      </c>
    </row>
    <row r="119" spans="2:10" s="203" customFormat="1" ht="15" customHeight="1" x14ac:dyDescent="0.25">
      <c r="B119" s="25"/>
      <c r="C119" s="209" t="s">
        <v>226</v>
      </c>
    </row>
    <row r="120" spans="2:10" s="203" customFormat="1" ht="15" customHeight="1" x14ac:dyDescent="0.25">
      <c r="B120" s="25">
        <v>7</v>
      </c>
      <c r="C120" s="203" t="s">
        <v>176</v>
      </c>
    </row>
    <row r="121" spans="2:10" s="203" customFormat="1" ht="15" customHeight="1" x14ac:dyDescent="0.25">
      <c r="B121" s="25"/>
      <c r="C121" s="209" t="s">
        <v>228</v>
      </c>
    </row>
    <row r="122" spans="2:10" s="203" customFormat="1" ht="15" customHeight="1" x14ac:dyDescent="0.25">
      <c r="C122" s="209" t="s">
        <v>178</v>
      </c>
    </row>
    <row r="123" spans="2:10" s="203" customFormat="1" ht="15" customHeight="1" x14ac:dyDescent="0.25">
      <c r="C123" s="209" t="s">
        <v>227</v>
      </c>
    </row>
    <row r="124" spans="2:10" s="203" customFormat="1" ht="15" customHeight="1" x14ac:dyDescent="0.25">
      <c r="C124" s="209" t="s">
        <v>218</v>
      </c>
    </row>
    <row r="125" spans="2:10" s="203" customFormat="1" ht="15" customHeight="1" x14ac:dyDescent="0.25">
      <c r="C125" s="209" t="s">
        <v>217</v>
      </c>
    </row>
    <row r="126" spans="2:10" s="203" customFormat="1" ht="15" customHeight="1" x14ac:dyDescent="0.25">
      <c r="B126" s="25">
        <v>8</v>
      </c>
      <c r="C126" s="203" t="s">
        <v>219</v>
      </c>
    </row>
    <row r="127" spans="2:10" s="203" customFormat="1" ht="15" customHeight="1" x14ac:dyDescent="0.25">
      <c r="B127" s="25"/>
      <c r="C127" s="209" t="s">
        <v>220</v>
      </c>
    </row>
    <row r="128" spans="2:10" s="203" customFormat="1" ht="15" customHeight="1" x14ac:dyDescent="0.25">
      <c r="B128" s="25"/>
      <c r="C128" s="209" t="s">
        <v>229</v>
      </c>
    </row>
    <row r="129" spans="2:3" s="203" customFormat="1" ht="15" customHeight="1" x14ac:dyDescent="0.25">
      <c r="B129" s="25"/>
      <c r="C129" s="209" t="s">
        <v>221</v>
      </c>
    </row>
    <row r="130" spans="2:3" s="203" customFormat="1" ht="15" customHeight="1" x14ac:dyDescent="0.25">
      <c r="B130" s="25"/>
      <c r="C130" s="209" t="s">
        <v>230</v>
      </c>
    </row>
    <row r="131" spans="2:3" s="203" customFormat="1" ht="15" customHeight="1" x14ac:dyDescent="0.25">
      <c r="B131" s="25"/>
      <c r="C131" s="209" t="s">
        <v>231</v>
      </c>
    </row>
    <row r="132" spans="2:3" s="203" customFormat="1" ht="15" customHeight="1" x14ac:dyDescent="0.25">
      <c r="C132" s="209" t="s">
        <v>290</v>
      </c>
    </row>
    <row r="133" spans="2:3" s="203" customFormat="1" ht="15" customHeight="1" x14ac:dyDescent="0.25">
      <c r="C133" s="209" t="s">
        <v>232</v>
      </c>
    </row>
    <row r="134" spans="2:3" s="203" customFormat="1" ht="15" customHeight="1" x14ac:dyDescent="0.25">
      <c r="C134" s="90" t="s">
        <v>233</v>
      </c>
    </row>
    <row r="135" spans="2:3" s="203" customFormat="1" ht="15" customHeight="1" x14ac:dyDescent="0.25">
      <c r="C135" s="209" t="s">
        <v>236</v>
      </c>
    </row>
    <row r="136" spans="2:3" s="203" customFormat="1" ht="15" customHeight="1" x14ac:dyDescent="0.25">
      <c r="C136" s="209" t="s">
        <v>237</v>
      </c>
    </row>
    <row r="137" spans="2:3" s="203" customFormat="1" ht="15" customHeight="1" x14ac:dyDescent="0.25">
      <c r="C137" s="209" t="s">
        <v>221</v>
      </c>
    </row>
    <row r="138" spans="2:3" s="203" customFormat="1" ht="15" customHeight="1" x14ac:dyDescent="0.25">
      <c r="B138" s="25">
        <v>9</v>
      </c>
      <c r="C138" s="203" t="s">
        <v>240</v>
      </c>
    </row>
    <row r="139" spans="2:3" s="203" customFormat="1" ht="15" customHeight="1" x14ac:dyDescent="0.25">
      <c r="C139" s="209" t="s">
        <v>241</v>
      </c>
    </row>
    <row r="140" spans="2:3" s="203" customFormat="1" ht="15" customHeight="1" x14ac:dyDescent="0.25">
      <c r="C140" s="209" t="s">
        <v>242</v>
      </c>
    </row>
    <row r="141" spans="2:3" s="203" customFormat="1" ht="15" customHeight="1" x14ac:dyDescent="0.25">
      <c r="C141" s="209" t="s">
        <v>243</v>
      </c>
    </row>
    <row r="142" spans="2:3" s="203" customFormat="1" ht="15" customHeight="1" x14ac:dyDescent="0.25">
      <c r="C142" s="209" t="s">
        <v>244</v>
      </c>
    </row>
    <row r="143" spans="2:3" s="203" customFormat="1" ht="15" customHeight="1" x14ac:dyDescent="0.25">
      <c r="C143" s="209" t="s">
        <v>245</v>
      </c>
    </row>
    <row r="144" spans="2:3" s="203" customFormat="1" ht="15" customHeight="1" x14ac:dyDescent="0.25">
      <c r="C144" s="90" t="s">
        <v>179</v>
      </c>
    </row>
    <row r="145" spans="2:6" s="203" customFormat="1" ht="15" customHeight="1" x14ac:dyDescent="0.25">
      <c r="C145" s="90" t="s">
        <v>180</v>
      </c>
    </row>
    <row r="146" spans="2:6" s="203" customFormat="1" ht="15" customHeight="1" x14ac:dyDescent="0.25">
      <c r="C146" s="203" t="s">
        <v>246</v>
      </c>
    </row>
    <row r="147" spans="2:6" s="203" customFormat="1" ht="15" customHeight="1" x14ac:dyDescent="0.25">
      <c r="B147" s="25"/>
      <c r="C147" s="90" t="s">
        <v>249</v>
      </c>
    </row>
    <row r="148" spans="2:6" s="203" customFormat="1" ht="15" customHeight="1" x14ac:dyDescent="0.25">
      <c r="B148" s="25">
        <v>10</v>
      </c>
      <c r="C148" s="203" t="s">
        <v>181</v>
      </c>
    </row>
    <row r="149" spans="2:6" s="203" customFormat="1" ht="15" customHeight="1" x14ac:dyDescent="0.25">
      <c r="C149" s="209" t="s">
        <v>256</v>
      </c>
    </row>
    <row r="150" spans="2:6" s="203" customFormat="1" ht="15" customHeight="1" x14ac:dyDescent="0.25">
      <c r="C150" s="209" t="s">
        <v>257</v>
      </c>
    </row>
    <row r="151" spans="2:6" s="203" customFormat="1" ht="15" customHeight="1" x14ac:dyDescent="0.25">
      <c r="B151" s="25">
        <v>11</v>
      </c>
      <c r="C151" s="203" t="s">
        <v>182</v>
      </c>
    </row>
    <row r="152" spans="2:6" s="203" customFormat="1" ht="15" customHeight="1" x14ac:dyDescent="0.25">
      <c r="C152" s="209" t="s">
        <v>183</v>
      </c>
    </row>
    <row r="153" spans="2:6" s="203" customFormat="1" ht="15" customHeight="1" x14ac:dyDescent="0.25">
      <c r="C153" s="209" t="s">
        <v>250</v>
      </c>
    </row>
    <row r="154" spans="2:6" s="203" customFormat="1" ht="15" customHeight="1" x14ac:dyDescent="0.25">
      <c r="C154" s="209" t="s">
        <v>184</v>
      </c>
    </row>
    <row r="155" spans="2:6" s="203" customFormat="1" ht="15" customHeight="1" x14ac:dyDescent="0.25">
      <c r="C155" s="209" t="s">
        <v>251</v>
      </c>
    </row>
    <row r="156" spans="2:6" s="203" customFormat="1" ht="15" customHeight="1" x14ac:dyDescent="0.25">
      <c r="C156" s="209" t="s">
        <v>252</v>
      </c>
    </row>
    <row r="157" spans="2:6" s="203" customFormat="1" ht="15" customHeight="1" x14ac:dyDescent="0.25">
      <c r="B157" s="25">
        <v>12</v>
      </c>
      <c r="C157" s="203" t="s">
        <v>185</v>
      </c>
    </row>
    <row r="158" spans="2:6" s="203" customFormat="1" ht="15" customHeight="1" x14ac:dyDescent="0.25">
      <c r="C158" s="209" t="s">
        <v>188</v>
      </c>
    </row>
    <row r="159" spans="2:6" s="203" customFormat="1" ht="15" customHeight="1" x14ac:dyDescent="0.25">
      <c r="C159" s="209" t="s">
        <v>186</v>
      </c>
    </row>
    <row r="160" spans="2:6" s="203" customFormat="1" ht="15" customHeight="1" x14ac:dyDescent="0.25">
      <c r="C160" s="209" t="s">
        <v>187</v>
      </c>
      <c r="E160" s="26"/>
      <c r="F160" s="208"/>
    </row>
    <row r="161" spans="3:4" ht="15" customHeight="1" x14ac:dyDescent="0.25">
      <c r="C161" s="26"/>
      <c r="D161" s="94"/>
    </row>
    <row r="162" spans="3:4" ht="15" customHeight="1" x14ac:dyDescent="0.25">
      <c r="C162" s="26"/>
      <c r="D162" s="94"/>
    </row>
    <row r="163" spans="3:4" ht="15" customHeight="1" x14ac:dyDescent="0.25">
      <c r="C163" s="26"/>
      <c r="D163" s="94"/>
    </row>
    <row r="164" spans="3:4" ht="15" customHeight="1" x14ac:dyDescent="0.25">
      <c r="C164" s="26"/>
      <c r="D164" s="94"/>
    </row>
    <row r="165" spans="3:4" ht="15" customHeight="1" x14ac:dyDescent="0.25">
      <c r="C165" s="26"/>
      <c r="D165" s="94"/>
    </row>
    <row r="166" spans="3:4" ht="15" customHeight="1" x14ac:dyDescent="0.25">
      <c r="C166" s="26"/>
      <c r="D166" s="94"/>
    </row>
    <row r="167" spans="3:4" ht="15" customHeight="1" x14ac:dyDescent="0.25">
      <c r="C167" s="26"/>
      <c r="D167" s="94"/>
    </row>
    <row r="168" spans="3:4" ht="15" customHeight="1" x14ac:dyDescent="0.25">
      <c r="C168" s="26"/>
      <c r="D168" s="94"/>
    </row>
    <row r="169" spans="3:4" ht="15" customHeight="1" x14ac:dyDescent="0.25">
      <c r="C169" s="26"/>
      <c r="D169" s="94"/>
    </row>
    <row r="170" spans="3:4" ht="15" customHeight="1" x14ac:dyDescent="0.25">
      <c r="C170" s="26"/>
      <c r="D170" s="94"/>
    </row>
    <row r="171" spans="3:4" ht="15" customHeight="1" x14ac:dyDescent="0.25">
      <c r="C171" s="26"/>
      <c r="D171" s="94"/>
    </row>
    <row r="172" spans="3:4" ht="15" customHeight="1" x14ac:dyDescent="0.25">
      <c r="C172" s="26"/>
      <c r="D172" s="94"/>
    </row>
    <row r="173" spans="3:4" ht="15" customHeight="1" x14ac:dyDescent="0.25">
      <c r="C173" s="26"/>
      <c r="D173" s="94"/>
    </row>
    <row r="174" spans="3:4" ht="15" customHeight="1" x14ac:dyDescent="0.25">
      <c r="C174" s="26"/>
      <c r="D174" s="94"/>
    </row>
    <row r="175" spans="3:4" ht="15" customHeight="1" x14ac:dyDescent="0.25">
      <c r="C175" s="26"/>
      <c r="D175" s="94"/>
    </row>
    <row r="176" spans="3:4" ht="15" customHeight="1" x14ac:dyDescent="0.25">
      <c r="C176" s="26"/>
      <c r="D176" s="94"/>
    </row>
    <row r="177" spans="3:4" ht="15" customHeight="1" x14ac:dyDescent="0.25">
      <c r="C177" s="26"/>
      <c r="D177" s="94"/>
    </row>
    <row r="178" spans="3:4" ht="15" customHeight="1" x14ac:dyDescent="0.25">
      <c r="C178" s="26"/>
      <c r="D178" s="94"/>
    </row>
    <row r="179" spans="3:4" ht="15" customHeight="1" x14ac:dyDescent="0.25">
      <c r="C179" s="26"/>
      <c r="D179" s="94"/>
    </row>
    <row r="180" spans="3:4" ht="15" customHeight="1" x14ac:dyDescent="0.25">
      <c r="C180" s="26"/>
      <c r="D180" s="94"/>
    </row>
    <row r="181" spans="3:4" ht="15" customHeight="1" x14ac:dyDescent="0.25">
      <c r="C181" s="26"/>
      <c r="D181" s="94"/>
    </row>
    <row r="182" spans="3:4" ht="15" customHeight="1" x14ac:dyDescent="0.25">
      <c r="C182" s="26"/>
      <c r="D182" s="94"/>
    </row>
    <row r="183" spans="3:4" ht="15" customHeight="1" x14ac:dyDescent="0.25">
      <c r="C183" s="26"/>
      <c r="D183" s="94"/>
    </row>
    <row r="184" spans="3:4" ht="15" customHeight="1" x14ac:dyDescent="0.25">
      <c r="C184" s="26"/>
      <c r="D184" s="94"/>
    </row>
    <row r="185" spans="3:4" ht="15" customHeight="1" x14ac:dyDescent="0.25">
      <c r="C185" s="26"/>
      <c r="D185" s="94"/>
    </row>
    <row r="186" spans="3:4" ht="15" customHeight="1" x14ac:dyDescent="0.25">
      <c r="C186" s="26"/>
      <c r="D186" s="94"/>
    </row>
    <row r="187" spans="3:4" ht="15" customHeight="1" x14ac:dyDescent="0.25">
      <c r="C187" s="26"/>
      <c r="D187" s="94"/>
    </row>
    <row r="188" spans="3:4" ht="15" customHeight="1" x14ac:dyDescent="0.25">
      <c r="C188" s="26"/>
      <c r="D188" s="94"/>
    </row>
    <row r="189" spans="3:4" ht="15" customHeight="1" x14ac:dyDescent="0.25">
      <c r="C189" s="26"/>
      <c r="D189" s="94"/>
    </row>
    <row r="190" spans="3:4" ht="15" customHeight="1" x14ac:dyDescent="0.25">
      <c r="C190" s="26"/>
      <c r="D190" s="94"/>
    </row>
    <row r="191" spans="3:4" ht="15" customHeight="1" x14ac:dyDescent="0.25">
      <c r="C191" s="26"/>
      <c r="D191" s="94"/>
    </row>
    <row r="192" spans="3:4" ht="15" customHeight="1" x14ac:dyDescent="0.25">
      <c r="C192" s="26"/>
      <c r="D192" s="94"/>
    </row>
    <row r="193" spans="3:4" ht="15" customHeight="1" x14ac:dyDescent="0.25">
      <c r="C193" s="26"/>
      <c r="D193" s="94"/>
    </row>
    <row r="194" spans="3:4" ht="15" customHeight="1" x14ac:dyDescent="0.25">
      <c r="C194" s="26"/>
      <c r="D194" s="94"/>
    </row>
    <row r="195" spans="3:4" ht="15" customHeight="1" x14ac:dyDescent="0.25">
      <c r="C195" s="26"/>
      <c r="D195" s="94"/>
    </row>
    <row r="196" spans="3:4" ht="15" customHeight="1" x14ac:dyDescent="0.25">
      <c r="C196" s="26"/>
      <c r="D196" s="94"/>
    </row>
    <row r="197" spans="3:4" ht="15" customHeight="1" x14ac:dyDescent="0.25">
      <c r="C197" s="26"/>
      <c r="D197" s="94"/>
    </row>
    <row r="198" spans="3:4" ht="15" customHeight="1" x14ac:dyDescent="0.25">
      <c r="C198" s="26"/>
      <c r="D198" s="94"/>
    </row>
    <row r="199" spans="3:4" ht="15" customHeight="1" x14ac:dyDescent="0.25">
      <c r="C199" s="26"/>
      <c r="D199" s="94"/>
    </row>
    <row r="200" spans="3:4" ht="15" customHeight="1" x14ac:dyDescent="0.25">
      <c r="C200" s="26"/>
      <c r="D200" s="94"/>
    </row>
    <row r="201" spans="3:4" ht="15" customHeight="1" x14ac:dyDescent="0.25">
      <c r="C201" s="26"/>
      <c r="D201" s="94"/>
    </row>
    <row r="202" spans="3:4" ht="15" customHeight="1" x14ac:dyDescent="0.25">
      <c r="C202" s="26"/>
      <c r="D202" s="94"/>
    </row>
    <row r="203" spans="3:4" ht="15" customHeight="1" x14ac:dyDescent="0.25">
      <c r="C203" s="26"/>
      <c r="D203" s="94"/>
    </row>
    <row r="204" spans="3:4" ht="15" customHeight="1" x14ac:dyDescent="0.25">
      <c r="C204" s="26"/>
      <c r="D204" s="94"/>
    </row>
    <row r="205" spans="3:4" ht="15" customHeight="1" x14ac:dyDescent="0.25">
      <c r="C205" s="26"/>
      <c r="D205" s="94"/>
    </row>
    <row r="206" spans="3:4" ht="15" customHeight="1" x14ac:dyDescent="0.25">
      <c r="C206" s="26"/>
      <c r="D206" s="94"/>
    </row>
    <row r="207" spans="3:4" ht="15" customHeight="1" x14ac:dyDescent="0.25">
      <c r="C207" s="26"/>
      <c r="D207" s="94"/>
    </row>
    <row r="208" spans="3:4" ht="15" customHeight="1" x14ac:dyDescent="0.25">
      <c r="C208" s="26"/>
      <c r="D208" s="94"/>
    </row>
    <row r="209" spans="3:4" ht="15" customHeight="1" x14ac:dyDescent="0.25">
      <c r="C209" s="26"/>
      <c r="D209" s="94"/>
    </row>
    <row r="210" spans="3:4" ht="15" customHeight="1" x14ac:dyDescent="0.25">
      <c r="C210" s="26"/>
      <c r="D210" s="94"/>
    </row>
    <row r="211" spans="3:4" ht="15" customHeight="1" x14ac:dyDescent="0.25">
      <c r="C211" s="26"/>
      <c r="D211" s="94"/>
    </row>
    <row r="212" spans="3:4" ht="15" customHeight="1" x14ac:dyDescent="0.25">
      <c r="C212" s="26"/>
      <c r="D212" s="94"/>
    </row>
    <row r="213" spans="3:4" ht="15" customHeight="1" x14ac:dyDescent="0.25">
      <c r="C213" s="26"/>
      <c r="D213" s="94"/>
    </row>
    <row r="214" spans="3:4" ht="15" customHeight="1" x14ac:dyDescent="0.25">
      <c r="C214" s="26"/>
      <c r="D214" s="94"/>
    </row>
    <row r="215" spans="3:4" ht="15" customHeight="1" x14ac:dyDescent="0.25">
      <c r="C215" s="26"/>
      <c r="D215" s="94"/>
    </row>
    <row r="216" spans="3:4" ht="15" customHeight="1" x14ac:dyDescent="0.25">
      <c r="C216" s="26"/>
      <c r="D216" s="94"/>
    </row>
    <row r="217" spans="3:4" ht="15" customHeight="1" x14ac:dyDescent="0.25">
      <c r="C217" s="26"/>
      <c r="D217" s="94"/>
    </row>
    <row r="218" spans="3:4" ht="15" customHeight="1" x14ac:dyDescent="0.25">
      <c r="C218" s="26"/>
      <c r="D218" s="94"/>
    </row>
    <row r="219" spans="3:4" ht="15" customHeight="1" x14ac:dyDescent="0.25">
      <c r="C219" s="26"/>
      <c r="D219" s="94"/>
    </row>
    <row r="220" spans="3:4" ht="15" customHeight="1" x14ac:dyDescent="0.25">
      <c r="D220" s="94"/>
    </row>
    <row r="221" spans="3:4" ht="15" customHeight="1" x14ac:dyDescent="0.25">
      <c r="D221" s="94"/>
    </row>
    <row r="222" spans="3:4" ht="15" customHeight="1" x14ac:dyDescent="0.25">
      <c r="D222" s="94"/>
    </row>
    <row r="223" spans="3:4" ht="15" customHeight="1" x14ac:dyDescent="0.25">
      <c r="D223" s="94"/>
    </row>
    <row r="224" spans="3:4" ht="15" customHeight="1" x14ac:dyDescent="0.25">
      <c r="D224" s="94"/>
    </row>
    <row r="225" spans="4:4" ht="15" customHeight="1" x14ac:dyDescent="0.25">
      <c r="D225" s="94"/>
    </row>
    <row r="226" spans="4:4" ht="15" customHeight="1" x14ac:dyDescent="0.25">
      <c r="D226" s="94"/>
    </row>
    <row r="227" spans="4:4" ht="15" customHeight="1" x14ac:dyDescent="0.25">
      <c r="D227" s="94"/>
    </row>
    <row r="228" spans="4:4" ht="15" customHeight="1" x14ac:dyDescent="0.25">
      <c r="D228" s="94"/>
    </row>
    <row r="229" spans="4:4" ht="15" customHeight="1" x14ac:dyDescent="0.25">
      <c r="D229" s="94"/>
    </row>
    <row r="230" spans="4:4" ht="15" customHeight="1" x14ac:dyDescent="0.25">
      <c r="D230" s="94"/>
    </row>
    <row r="231" spans="4:4" ht="15" customHeight="1" x14ac:dyDescent="0.25">
      <c r="D231" s="94"/>
    </row>
    <row r="232" spans="4:4" ht="15" customHeight="1" x14ac:dyDescent="0.25">
      <c r="D232" s="94"/>
    </row>
    <row r="233" spans="4:4" ht="15" customHeight="1" x14ac:dyDescent="0.25">
      <c r="D233" s="94"/>
    </row>
    <row r="234" spans="4:4" ht="15" customHeight="1" x14ac:dyDescent="0.25">
      <c r="D234" s="94"/>
    </row>
    <row r="235" spans="4:4" ht="15" customHeight="1" x14ac:dyDescent="0.25">
      <c r="D235" s="94"/>
    </row>
    <row r="236" spans="4:4" ht="15" customHeight="1" x14ac:dyDescent="0.25">
      <c r="D236" s="94"/>
    </row>
    <row r="237" spans="4:4" ht="15" customHeight="1" x14ac:dyDescent="0.25">
      <c r="D237" s="94"/>
    </row>
    <row r="238" spans="4:4" ht="15" customHeight="1" x14ac:dyDescent="0.25">
      <c r="D238" s="94"/>
    </row>
    <row r="239" spans="4:4" ht="15" customHeight="1" x14ac:dyDescent="0.25">
      <c r="D239" s="94"/>
    </row>
    <row r="240" spans="4:4" ht="15" customHeight="1" x14ac:dyDescent="0.25">
      <c r="D240" s="94"/>
    </row>
    <row r="241" spans="4:4" ht="15" customHeight="1" x14ac:dyDescent="0.25">
      <c r="D241" s="94"/>
    </row>
    <row r="242" spans="4:4" ht="15" customHeight="1" x14ac:dyDescent="0.25">
      <c r="D242" s="94"/>
    </row>
    <row r="243" spans="4:4" ht="15" customHeight="1" x14ac:dyDescent="0.25">
      <c r="D243" s="94"/>
    </row>
    <row r="244" spans="4:4" ht="15" customHeight="1" x14ac:dyDescent="0.25">
      <c r="D244" s="94"/>
    </row>
    <row r="245" spans="4:4" ht="15" customHeight="1" x14ac:dyDescent="0.25">
      <c r="D245" s="94"/>
    </row>
  </sheetData>
  <mergeCells count="5">
    <mergeCell ref="B13:H13"/>
    <mergeCell ref="J13:P13"/>
    <mergeCell ref="R13:X13"/>
    <mergeCell ref="B2:X2"/>
    <mergeCell ref="B97:X97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import BA</vt:lpstr>
      <vt:lpstr>Jours</vt:lpstr>
      <vt:lpstr>Budget</vt:lpstr>
      <vt:lpstr>Financement</vt:lpstr>
      <vt:lpstr>MSE</vt:lpstr>
      <vt:lpstr>MSE (1)</vt:lpstr>
      <vt:lpstr>Budget!Zone_d_impression</vt:lpstr>
      <vt:lpstr>Financement!Zone_d_impression</vt:lpstr>
      <vt:lpstr>Jours!Zone_d_impression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Frédérick POIGNET</cp:lastModifiedBy>
  <cp:lastPrinted>2023-06-14T11:36:48Z</cp:lastPrinted>
  <dcterms:created xsi:type="dcterms:W3CDTF">2018-10-12T07:44:20Z</dcterms:created>
  <dcterms:modified xsi:type="dcterms:W3CDTF">2023-11-15T13:42:40Z</dcterms:modified>
</cp:coreProperties>
</file>